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УИРТ\ДЛЯ САЙТА\ОФДОКИ\2016\04\"/>
    </mc:Choice>
  </mc:AlternateContent>
  <bookViews>
    <workbookView xWindow="4875" yWindow="-135" windowWidth="15450" windowHeight="11700"/>
  </bookViews>
  <sheets>
    <sheet name="Часть 1" sheetId="9" r:id="rId1"/>
    <sheet name="Часть 2" sheetId="11" r:id="rId2"/>
    <sheet name="Часть 3" sheetId="3" r:id="rId3"/>
  </sheets>
  <definedNames>
    <definedName name="_xlnm._FilterDatabase" localSheetId="1" hidden="1">'Часть 2'!$A$7:$Y$178</definedName>
    <definedName name="_xlnm.Print_Area" localSheetId="0">'Часть 1'!$A$1:$S$205</definedName>
    <definedName name="_xlnm.Print_Area" localSheetId="1">'Часть 2'!$A$1:$X$186</definedName>
    <definedName name="Перечень" localSheetId="0">#REF!</definedName>
    <definedName name="Перечень" localSheetId="1">#REF!</definedName>
    <definedName name="Перечень">#REF!</definedName>
    <definedName name="Перечень2" localSheetId="0">#REF!</definedName>
    <definedName name="Перечень2" localSheetId="1">#REF!</definedName>
    <definedName name="Перечень2">#REF!</definedName>
    <definedName name="Перечень3" localSheetId="0">#REF!</definedName>
    <definedName name="Перечень3" localSheetId="1">#REF!</definedName>
    <definedName name="Перечень3">#REF!</definedName>
    <definedName name="побалламммм" localSheetId="1">#REF!</definedName>
    <definedName name="побалламммм">#REF!</definedName>
  </definedNames>
  <calcPr calcId="152511"/>
</workbook>
</file>

<file path=xl/calcChain.xml><?xml version="1.0" encoding="utf-8"?>
<calcChain xmlns="http://schemas.openxmlformats.org/spreadsheetml/2006/main">
  <c r="L7" i="3" l="1"/>
  <c r="M7" i="3" s="1"/>
  <c r="D175" i="11"/>
  <c r="C175" i="11" s="1"/>
  <c r="V174" i="11"/>
  <c r="U174" i="11"/>
  <c r="W174" i="11" s="1"/>
  <c r="D174" i="11"/>
  <c r="C174" i="11" s="1"/>
  <c r="D173" i="11"/>
  <c r="C173" i="11"/>
  <c r="D172" i="11"/>
  <c r="C172" i="11" s="1"/>
  <c r="V171" i="11"/>
  <c r="U171" i="11"/>
  <c r="W171" i="11" s="1"/>
  <c r="D171" i="11"/>
  <c r="C171" i="11" s="1"/>
  <c r="D170" i="11"/>
  <c r="C170" i="11" s="1"/>
  <c r="V169" i="11"/>
  <c r="U169" i="11"/>
  <c r="W169" i="11" s="1"/>
  <c r="D169" i="11"/>
  <c r="C169" i="11" s="1"/>
  <c r="V168" i="11"/>
  <c r="U168" i="11"/>
  <c r="W168" i="11" s="1"/>
  <c r="D168" i="11"/>
  <c r="C168" i="11" s="1"/>
  <c r="D167" i="11"/>
  <c r="C167" i="11" s="1"/>
  <c r="D166" i="11"/>
  <c r="C166" i="11" s="1"/>
  <c r="D165" i="11"/>
  <c r="C165" i="11" s="1"/>
  <c r="D164" i="11"/>
  <c r="C164" i="11" s="1"/>
  <c r="D163" i="11"/>
  <c r="C163" i="11" s="1"/>
  <c r="D162" i="11"/>
  <c r="C162" i="11" s="1"/>
  <c r="D161" i="11"/>
  <c r="C161" i="11" s="1"/>
  <c r="D160" i="11"/>
  <c r="C160" i="11" s="1"/>
  <c r="D159" i="11"/>
  <c r="C159" i="11" s="1"/>
  <c r="D158" i="11"/>
  <c r="C158" i="11" s="1"/>
  <c r="D157" i="11"/>
  <c r="C157" i="11" s="1"/>
  <c r="D156" i="11"/>
  <c r="C156" i="11" s="1"/>
  <c r="D155" i="11"/>
  <c r="C155" i="11" s="1"/>
  <c r="D154" i="11"/>
  <c r="C154" i="11" s="1"/>
  <c r="D153" i="11"/>
  <c r="C153" i="11" s="1"/>
  <c r="D152" i="11"/>
  <c r="C152" i="11" s="1"/>
  <c r="D151" i="11"/>
  <c r="C151" i="11" s="1"/>
  <c r="D150" i="11"/>
  <c r="C150" i="11" s="1"/>
  <c r="D149" i="11"/>
  <c r="C149" i="11" s="1"/>
  <c r="D148" i="11"/>
  <c r="C148" i="11" s="1"/>
  <c r="D147" i="11"/>
  <c r="C147" i="11" s="1"/>
  <c r="V146" i="11"/>
  <c r="U146" i="11"/>
  <c r="W146" i="11" s="1"/>
  <c r="D146" i="11"/>
  <c r="C146" i="11" s="1"/>
  <c r="D145" i="11"/>
  <c r="C145" i="11"/>
  <c r="D144" i="11"/>
  <c r="C144" i="11" s="1"/>
  <c r="D143" i="11"/>
  <c r="C143" i="11"/>
  <c r="D142" i="11"/>
  <c r="C142" i="11" s="1"/>
  <c r="D141" i="11"/>
  <c r="C141" i="11"/>
  <c r="D140" i="11"/>
  <c r="C140" i="11" s="1"/>
  <c r="V139" i="11"/>
  <c r="U139" i="11"/>
  <c r="W139" i="11" s="1"/>
  <c r="D139" i="11"/>
  <c r="C139" i="11" s="1"/>
  <c r="V138" i="11"/>
  <c r="U138" i="11"/>
  <c r="W138" i="11" s="1"/>
  <c r="D138" i="11"/>
  <c r="C138" i="11" s="1"/>
  <c r="D137" i="11"/>
  <c r="C137" i="11"/>
  <c r="D136" i="11"/>
  <c r="C136" i="11" s="1"/>
  <c r="D135" i="11"/>
  <c r="C135" i="11" s="1"/>
  <c r="D134" i="11"/>
  <c r="C134" i="11" s="1"/>
  <c r="D133" i="11"/>
  <c r="C133" i="11"/>
  <c r="D132" i="11"/>
  <c r="C132" i="11" s="1"/>
  <c r="D131" i="11"/>
  <c r="C131" i="11"/>
  <c r="D130" i="11"/>
  <c r="C130" i="11" s="1"/>
  <c r="D129" i="11"/>
  <c r="C129" i="11"/>
  <c r="D128" i="11"/>
  <c r="C128" i="11" s="1"/>
  <c r="D127" i="11"/>
  <c r="C127" i="11" s="1"/>
  <c r="D126" i="11"/>
  <c r="C126" i="11"/>
  <c r="D125" i="11"/>
  <c r="C125" i="11" s="1"/>
  <c r="D124" i="11"/>
  <c r="C124" i="11"/>
  <c r="D123" i="11"/>
  <c r="C123" i="11" s="1"/>
  <c r="D122" i="11"/>
  <c r="C122" i="11" s="1"/>
  <c r="D121" i="11"/>
  <c r="C121" i="11" s="1"/>
  <c r="D120" i="11"/>
  <c r="C120" i="11" s="1"/>
  <c r="D119" i="11"/>
  <c r="C119" i="11" s="1"/>
  <c r="D118" i="11"/>
  <c r="C118" i="11" s="1"/>
  <c r="D117" i="11"/>
  <c r="C117" i="11" s="1"/>
  <c r="D116" i="11"/>
  <c r="C116" i="11" s="1"/>
  <c r="D115" i="11"/>
  <c r="C115" i="11" s="1"/>
  <c r="D114" i="11"/>
  <c r="C114" i="11" s="1"/>
  <c r="D113" i="11"/>
  <c r="C113" i="11" s="1"/>
  <c r="D112" i="11"/>
  <c r="C112" i="11" s="1"/>
  <c r="D111" i="11"/>
  <c r="C111" i="11" s="1"/>
  <c r="D110" i="11"/>
  <c r="C110" i="11" s="1"/>
  <c r="D109" i="11"/>
  <c r="C109" i="11" s="1"/>
  <c r="D108" i="11"/>
  <c r="C108" i="11" s="1"/>
  <c r="D107" i="11"/>
  <c r="C107" i="11" s="1"/>
  <c r="D106" i="11"/>
  <c r="C106" i="11" s="1"/>
  <c r="D105" i="11"/>
  <c r="C105" i="11" s="1"/>
  <c r="V104" i="11"/>
  <c r="U104" i="11"/>
  <c r="D104" i="11"/>
  <c r="C104" i="11" s="1"/>
  <c r="D103" i="11"/>
  <c r="C103" i="11" s="1"/>
  <c r="D102" i="11"/>
  <c r="C102" i="11" s="1"/>
  <c r="D101" i="11"/>
  <c r="C101" i="11" s="1"/>
  <c r="D100" i="11"/>
  <c r="C100" i="11" s="1"/>
  <c r="D99" i="11"/>
  <c r="C99" i="11" s="1"/>
  <c r="D98" i="11"/>
  <c r="C98" i="11" s="1"/>
  <c r="D97" i="11"/>
  <c r="C97" i="11" s="1"/>
  <c r="D96" i="11"/>
  <c r="C96" i="11" s="1"/>
  <c r="V95" i="11"/>
  <c r="U95" i="11"/>
  <c r="W95" i="11" s="1"/>
  <c r="D95" i="11"/>
  <c r="C95" i="11" s="1"/>
  <c r="V94" i="11"/>
  <c r="U94" i="11"/>
  <c r="W94" i="11" s="1"/>
  <c r="D94" i="11"/>
  <c r="C94" i="11" s="1"/>
  <c r="D93" i="11"/>
  <c r="C93" i="11" s="1"/>
  <c r="D92" i="11"/>
  <c r="C92" i="11" s="1"/>
  <c r="D91" i="11"/>
  <c r="C91" i="11" s="1"/>
  <c r="D90" i="11"/>
  <c r="C90" i="11" s="1"/>
  <c r="D89" i="11"/>
  <c r="C89" i="11" s="1"/>
  <c r="D88" i="11"/>
  <c r="C88" i="11" s="1"/>
  <c r="D87" i="11"/>
  <c r="C87" i="11" s="1"/>
  <c r="D86" i="11"/>
  <c r="C86" i="11" s="1"/>
  <c r="D85" i="11"/>
  <c r="C85" i="11" s="1"/>
  <c r="D84" i="11"/>
  <c r="C84" i="11" s="1"/>
  <c r="D83" i="11"/>
  <c r="C83" i="11" s="1"/>
  <c r="D82" i="11"/>
  <c r="C82" i="11" s="1"/>
  <c r="D81" i="11"/>
  <c r="C81" i="11" s="1"/>
  <c r="D80" i="11"/>
  <c r="C80" i="11" s="1"/>
  <c r="D79" i="11"/>
  <c r="C79" i="11" s="1"/>
  <c r="V78" i="11"/>
  <c r="U78" i="11"/>
  <c r="D78" i="11"/>
  <c r="C78" i="11"/>
  <c r="D77" i="11"/>
  <c r="C77" i="11" s="1"/>
  <c r="D76" i="11"/>
  <c r="C76" i="11" s="1"/>
  <c r="V75" i="11"/>
  <c r="U75" i="11"/>
  <c r="D75" i="11"/>
  <c r="C75" i="11" s="1"/>
  <c r="D74" i="11"/>
  <c r="C74" i="11" s="1"/>
  <c r="D73" i="11"/>
  <c r="C73" i="11" s="1"/>
  <c r="D72" i="11"/>
  <c r="C72" i="11" s="1"/>
  <c r="D71" i="11"/>
  <c r="C71" i="11" s="1"/>
  <c r="D70" i="11"/>
  <c r="C70" i="11" s="1"/>
  <c r="D69" i="11"/>
  <c r="C69" i="11" s="1"/>
  <c r="D68" i="11"/>
  <c r="C68" i="11" s="1"/>
  <c r="D67" i="11"/>
  <c r="C67" i="11" s="1"/>
  <c r="V66" i="11"/>
  <c r="U66" i="11"/>
  <c r="W66" i="11" s="1"/>
  <c r="D66" i="11"/>
  <c r="C66" i="11" s="1"/>
  <c r="D65" i="11"/>
  <c r="C65" i="11" s="1"/>
  <c r="D64" i="11"/>
  <c r="C64" i="11" s="1"/>
  <c r="D63" i="11"/>
  <c r="C63" i="11" s="1"/>
  <c r="D62" i="11"/>
  <c r="C62" i="11" s="1"/>
  <c r="V61" i="11"/>
  <c r="U61" i="11"/>
  <c r="W61" i="11" s="1"/>
  <c r="D61" i="11"/>
  <c r="C61" i="11" s="1"/>
  <c r="D60" i="11"/>
  <c r="C60" i="11" s="1"/>
  <c r="D59" i="11"/>
  <c r="C59" i="11" s="1"/>
  <c r="D58" i="11"/>
  <c r="C58" i="11" s="1"/>
  <c r="D57" i="11"/>
  <c r="C57" i="11" s="1"/>
  <c r="D56" i="11"/>
  <c r="C56" i="11" s="1"/>
  <c r="D55" i="11"/>
  <c r="C55" i="11" s="1"/>
  <c r="D54" i="11"/>
  <c r="C54" i="11" s="1"/>
  <c r="D53" i="11"/>
  <c r="C53" i="11" s="1"/>
  <c r="D52" i="11"/>
  <c r="C52" i="11" s="1"/>
  <c r="D51" i="11"/>
  <c r="C51" i="11" s="1"/>
  <c r="V50" i="11"/>
  <c r="V7" i="11" s="1"/>
  <c r="U50" i="11"/>
  <c r="W50" i="11" s="1"/>
  <c r="W7" i="11" s="1"/>
  <c r="D50" i="11"/>
  <c r="C50" i="11" s="1"/>
  <c r="D49" i="11"/>
  <c r="C49" i="11"/>
  <c r="D48" i="11"/>
  <c r="C48" i="11" s="1"/>
  <c r="D47" i="11"/>
  <c r="C47" i="11"/>
  <c r="D46" i="11"/>
  <c r="C46" i="11" s="1"/>
  <c r="D45" i="11"/>
  <c r="C45" i="11"/>
  <c r="D44" i="11"/>
  <c r="C44" i="11" s="1"/>
  <c r="V43" i="11"/>
  <c r="U43" i="11"/>
  <c r="W43" i="11" s="1"/>
  <c r="D43" i="11"/>
  <c r="C43" i="11" s="1"/>
  <c r="D42" i="11"/>
  <c r="C42" i="11" s="1"/>
  <c r="D41" i="11"/>
  <c r="C41" i="11" s="1"/>
  <c r="D40" i="11"/>
  <c r="C40" i="11" s="1"/>
  <c r="D39" i="11"/>
  <c r="C39" i="11" s="1"/>
  <c r="D38" i="11"/>
  <c r="C38" i="11" s="1"/>
  <c r="D37" i="11"/>
  <c r="C37" i="11" s="1"/>
  <c r="D36" i="11"/>
  <c r="C36" i="11" s="1"/>
  <c r="D35" i="11"/>
  <c r="C35" i="11" s="1"/>
  <c r="D34" i="11"/>
  <c r="C34" i="11" s="1"/>
  <c r="D33" i="11"/>
  <c r="C33" i="11" s="1"/>
  <c r="D32" i="11"/>
  <c r="C32" i="11" s="1"/>
  <c r="D31" i="11"/>
  <c r="C31" i="11" s="1"/>
  <c r="D30" i="11"/>
  <c r="C30" i="11" s="1"/>
  <c r="D29" i="11"/>
  <c r="C29" i="11" s="1"/>
  <c r="D28" i="11"/>
  <c r="C28" i="11" s="1"/>
  <c r="D27" i="11"/>
  <c r="C27" i="11" s="1"/>
  <c r="D26" i="11"/>
  <c r="C26" i="11" s="1"/>
  <c r="D25" i="11"/>
  <c r="C25" i="11" s="1"/>
  <c r="D24" i="11"/>
  <c r="C24" i="11" s="1"/>
  <c r="D23" i="11"/>
  <c r="C23" i="11" s="1"/>
  <c r="D22" i="11"/>
  <c r="C22" i="11" s="1"/>
  <c r="D21" i="11"/>
  <c r="C21" i="11" s="1"/>
  <c r="D20" i="11"/>
  <c r="C20" i="11" s="1"/>
  <c r="D19" i="11"/>
  <c r="C19" i="11" s="1"/>
  <c r="D18" i="11"/>
  <c r="C18" i="11" s="1"/>
  <c r="D17" i="11"/>
  <c r="C17" i="11" s="1"/>
  <c r="D16" i="11"/>
  <c r="C16" i="11" s="1"/>
  <c r="D15" i="11"/>
  <c r="C15" i="11" s="1"/>
  <c r="D14" i="11"/>
  <c r="C14" i="11" s="1"/>
  <c r="D13" i="11"/>
  <c r="C13" i="11" s="1"/>
  <c r="D12" i="11"/>
  <c r="C12" i="11" s="1"/>
  <c r="D11" i="11"/>
  <c r="C11" i="11" s="1"/>
  <c r="D10" i="11"/>
  <c r="C10" i="11" s="1"/>
  <c r="D9" i="11"/>
  <c r="C9" i="11" s="1"/>
  <c r="D8" i="11"/>
  <c r="C8" i="11" s="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Q12" i="9"/>
  <c r="J13" i="9"/>
  <c r="Q13" i="9"/>
  <c r="Q14" i="9"/>
  <c r="J15" i="9"/>
  <c r="Q15" i="9"/>
  <c r="H16" i="9"/>
  <c r="H180" i="9" s="1"/>
  <c r="H187" i="9" s="1"/>
  <c r="J16" i="9"/>
  <c r="Q16" i="9"/>
  <c r="Q17" i="9"/>
  <c r="I18" i="9"/>
  <c r="I180" i="9" s="1"/>
  <c r="J18" i="9"/>
  <c r="J19" i="9"/>
  <c r="Q19" i="9"/>
  <c r="J20" i="9"/>
  <c r="Q20" i="9"/>
  <c r="J21" i="9"/>
  <c r="Q21" i="9"/>
  <c r="Q22" i="9"/>
  <c r="J23" i="9"/>
  <c r="Q23" i="9"/>
  <c r="J24" i="9"/>
  <c r="Q24" i="9"/>
  <c r="Q25" i="9"/>
  <c r="J26" i="9"/>
  <c r="Q26" i="9"/>
  <c r="J27" i="9"/>
  <c r="Q27" i="9"/>
  <c r="J28" i="9"/>
  <c r="Q28" i="9"/>
  <c r="Q29" i="9"/>
  <c r="Q30" i="9"/>
  <c r="Q31" i="9"/>
  <c r="H32" i="9"/>
  <c r="J32" i="9"/>
  <c r="Q32" i="9"/>
  <c r="Q33" i="9"/>
  <c r="J34" i="9"/>
  <c r="Q34" i="9"/>
  <c r="Q35" i="9"/>
  <c r="Q36" i="9"/>
  <c r="J37" i="9"/>
  <c r="Q37" i="9"/>
  <c r="J38" i="9"/>
  <c r="Q38" i="9"/>
  <c r="J39" i="9"/>
  <c r="Q39" i="9"/>
  <c r="J40" i="9"/>
  <c r="Q40" i="9"/>
  <c r="J41" i="9"/>
  <c r="Q41" i="9"/>
  <c r="H42" i="9"/>
  <c r="J42" i="9"/>
  <c r="Q42" i="9"/>
  <c r="J43" i="9"/>
  <c r="Q43" i="9"/>
  <c r="J44" i="9"/>
  <c r="Q44" i="9"/>
  <c r="Q45" i="9"/>
  <c r="J46" i="9"/>
  <c r="Q46" i="9"/>
  <c r="Q47" i="9"/>
  <c r="Q48" i="9"/>
  <c r="J49" i="9"/>
  <c r="Q49" i="9"/>
  <c r="J50" i="9"/>
  <c r="Q50" i="9"/>
  <c r="J51" i="9"/>
  <c r="Q51" i="9"/>
  <c r="J52" i="9"/>
  <c r="Q52" i="9"/>
  <c r="J53" i="9"/>
  <c r="Q53" i="9"/>
  <c r="J54" i="9"/>
  <c r="Q54" i="9"/>
  <c r="J55" i="9"/>
  <c r="Q55" i="9"/>
  <c r="Q56" i="9"/>
  <c r="J57" i="9"/>
  <c r="Q57" i="9"/>
  <c r="J58" i="9"/>
  <c r="Q58" i="9"/>
  <c r="J59" i="9"/>
  <c r="Q59" i="9"/>
  <c r="J60" i="9"/>
  <c r="Q60" i="9"/>
  <c r="J61" i="9"/>
  <c r="Q61" i="9"/>
  <c r="Q62" i="9"/>
  <c r="Q63" i="9"/>
  <c r="Q64" i="9"/>
  <c r="J65" i="9"/>
  <c r="Q65" i="9"/>
  <c r="J66" i="9"/>
  <c r="Q66" i="9"/>
  <c r="J67" i="9"/>
  <c r="Q67" i="9"/>
  <c r="J68" i="9"/>
  <c r="Q68" i="9"/>
  <c r="Q69" i="9"/>
  <c r="Q70" i="9"/>
  <c r="H71" i="9"/>
  <c r="J71" i="9"/>
  <c r="Q71" i="9"/>
  <c r="Q72" i="9"/>
  <c r="J73" i="9"/>
  <c r="Q73" i="9"/>
  <c r="J74" i="9"/>
  <c r="Q74" i="9"/>
  <c r="Q75" i="9"/>
  <c r="H76" i="9"/>
  <c r="J76" i="9"/>
  <c r="Q76" i="9"/>
  <c r="Q77" i="9"/>
  <c r="J78" i="9"/>
  <c r="Q78" i="9"/>
  <c r="J79" i="9"/>
  <c r="Q79" i="9"/>
  <c r="J80" i="9"/>
  <c r="Q80" i="9"/>
  <c r="Q81" i="9"/>
  <c r="J82" i="9"/>
  <c r="Q82" i="9"/>
  <c r="Q83" i="9"/>
  <c r="J84" i="9"/>
  <c r="Q84" i="9"/>
  <c r="J85" i="9"/>
  <c r="Q85" i="9"/>
  <c r="Q86" i="9"/>
  <c r="J87" i="9"/>
  <c r="Q87" i="9"/>
  <c r="J88" i="9"/>
  <c r="Q88" i="9"/>
  <c r="Q89" i="9"/>
  <c r="J90" i="9"/>
  <c r="Q90" i="9"/>
  <c r="J91" i="9"/>
  <c r="Q91" i="9"/>
  <c r="Q92" i="9"/>
  <c r="Q93" i="9"/>
  <c r="J94" i="9"/>
  <c r="Q94" i="9"/>
  <c r="J95" i="9"/>
  <c r="Q95" i="9"/>
  <c r="H96" i="9"/>
  <c r="J96" i="9"/>
  <c r="Q96" i="9"/>
  <c r="J97" i="9"/>
  <c r="Q97" i="9"/>
  <c r="Q98" i="9"/>
  <c r="Q99" i="9"/>
  <c r="J100" i="9"/>
  <c r="Q100" i="9"/>
  <c r="Q101" i="9"/>
  <c r="H102" i="9"/>
  <c r="J102" i="9"/>
  <c r="Q102" i="9"/>
  <c r="J103" i="9"/>
  <c r="Q103" i="9"/>
  <c r="J104" i="9"/>
  <c r="Q104" i="9"/>
  <c r="H105" i="9"/>
  <c r="I105" i="9"/>
  <c r="Q105" i="9" s="1"/>
  <c r="J105" i="9"/>
  <c r="Q106" i="9"/>
  <c r="H107" i="9"/>
  <c r="J107" i="9"/>
  <c r="Q107" i="9"/>
  <c r="H108" i="9"/>
  <c r="Q108" i="9"/>
  <c r="Q109" i="9"/>
  <c r="J110" i="9"/>
  <c r="Q110" i="9"/>
  <c r="J111" i="9"/>
  <c r="Q111" i="9"/>
  <c r="J112" i="9"/>
  <c r="Q112" i="9"/>
  <c r="J113" i="9"/>
  <c r="Q113" i="9"/>
  <c r="H114" i="9"/>
  <c r="I114" i="9"/>
  <c r="Q114" i="9" s="1"/>
  <c r="J114" i="9"/>
  <c r="Q115" i="9"/>
  <c r="J116" i="9"/>
  <c r="Q116" i="9"/>
  <c r="I117" i="9"/>
  <c r="Q117" i="9" s="1"/>
  <c r="J118" i="9"/>
  <c r="Q118" i="9"/>
  <c r="J119" i="9"/>
  <c r="Q119" i="9"/>
  <c r="J120" i="9"/>
  <c r="Q120" i="9"/>
  <c r="Q121" i="9"/>
  <c r="Q122" i="9"/>
  <c r="J123" i="9"/>
  <c r="Q123" i="9"/>
  <c r="J124" i="9"/>
  <c r="Q124" i="9"/>
  <c r="J125" i="9"/>
  <c r="Q125" i="9"/>
  <c r="J126" i="9"/>
  <c r="Q126" i="9"/>
  <c r="Q127" i="9"/>
  <c r="J128" i="9"/>
  <c r="Q128" i="9"/>
  <c r="Q129" i="9"/>
  <c r="J130" i="9"/>
  <c r="Q130" i="9"/>
  <c r="J131" i="9"/>
  <c r="Q131" i="9"/>
  <c r="I132" i="9"/>
  <c r="J132" i="9"/>
  <c r="Q132" i="9"/>
  <c r="Q133" i="9"/>
  <c r="J134" i="9"/>
  <c r="Q134" i="9"/>
  <c r="J135" i="9"/>
  <c r="Q135" i="9"/>
  <c r="J136" i="9"/>
  <c r="Q136" i="9"/>
  <c r="J137" i="9"/>
  <c r="Q137" i="9"/>
  <c r="H138" i="9"/>
  <c r="J138" i="9"/>
  <c r="Q138" i="9"/>
  <c r="J139" i="9"/>
  <c r="Q139" i="9"/>
  <c r="Q140" i="9"/>
  <c r="J141" i="9"/>
  <c r="Q141" i="9"/>
  <c r="Q142" i="9"/>
  <c r="J143" i="9"/>
  <c r="Q143" i="9"/>
  <c r="J144" i="9"/>
  <c r="Q144" i="9"/>
  <c r="Q145" i="9"/>
  <c r="J146" i="9"/>
  <c r="Q146" i="9"/>
  <c r="J147" i="9"/>
  <c r="Q147" i="9"/>
  <c r="J148" i="9"/>
  <c r="Q148" i="9"/>
  <c r="J149" i="9"/>
  <c r="Q149" i="9"/>
  <c r="J150" i="9"/>
  <c r="Q150" i="9"/>
  <c r="J151" i="9"/>
  <c r="Q151" i="9"/>
  <c r="H152" i="9"/>
  <c r="Q152" i="9"/>
  <c r="J153" i="9"/>
  <c r="Q153" i="9"/>
  <c r="J154" i="9"/>
  <c r="Q154" i="9"/>
  <c r="J155" i="9"/>
  <c r="Q155" i="9"/>
  <c r="I156" i="9"/>
  <c r="Q156" i="9" s="1"/>
  <c r="Q157" i="9"/>
  <c r="Q158" i="9"/>
  <c r="J159" i="9"/>
  <c r="Q159" i="9"/>
  <c r="J160" i="9"/>
  <c r="Q160" i="9"/>
  <c r="J161" i="9"/>
  <c r="Q161" i="9"/>
  <c r="J162" i="9"/>
  <c r="Q162" i="9"/>
  <c r="J163" i="9"/>
  <c r="Q163" i="9"/>
  <c r="J164" i="9"/>
  <c r="Q164" i="9"/>
  <c r="Q165" i="9"/>
  <c r="J166" i="9"/>
  <c r="Q166" i="9"/>
  <c r="J167" i="9"/>
  <c r="Q167" i="9"/>
  <c r="I168" i="9"/>
  <c r="Q168" i="9" s="1"/>
  <c r="J168" i="9"/>
  <c r="J169" i="9"/>
  <c r="Q169" i="9"/>
  <c r="H170" i="9"/>
  <c r="J170" i="9"/>
  <c r="Q170" i="9"/>
  <c r="Q171" i="9"/>
  <c r="J172" i="9"/>
  <c r="Q172" i="9"/>
  <c r="J173" i="9"/>
  <c r="Q173" i="9"/>
  <c r="Q174" i="9"/>
  <c r="Q175" i="9"/>
  <c r="Q176" i="9"/>
  <c r="J177" i="9"/>
  <c r="Q177" i="9"/>
  <c r="J178" i="9"/>
  <c r="Q178" i="9"/>
  <c r="J179" i="9"/>
  <c r="Q179" i="9"/>
  <c r="J180" i="9"/>
  <c r="J187" i="9" s="1"/>
  <c r="K180" i="9"/>
  <c r="L180" i="9"/>
  <c r="M180" i="9"/>
  <c r="N180" i="9"/>
  <c r="N187" i="9" s="1"/>
  <c r="O180" i="9"/>
  <c r="P180" i="9"/>
  <c r="H183" i="9"/>
  <c r="I183" i="9"/>
  <c r="J183" i="9"/>
  <c r="K183" i="9"/>
  <c r="L183" i="9"/>
  <c r="L187" i="9" s="1"/>
  <c r="M183" i="9"/>
  <c r="M187" i="9" s="1"/>
  <c r="N183" i="9"/>
  <c r="O183" i="9"/>
  <c r="P183" i="9"/>
  <c r="P187" i="9" s="1"/>
  <c r="I187" i="9" l="1"/>
  <c r="O187" i="9"/>
  <c r="Q18" i="9"/>
  <c r="D7" i="11"/>
  <c r="C7" i="11" s="1"/>
  <c r="W78" i="11"/>
  <c r="W75" i="11"/>
  <c r="K187" i="9"/>
  <c r="W104" i="11"/>
  <c r="J8" i="3"/>
  <c r="K8" i="3"/>
  <c r="L8" i="3"/>
  <c r="M8" i="3"/>
  <c r="B8" i="3" l="1"/>
</calcChain>
</file>

<file path=xl/sharedStrings.xml><?xml version="1.0" encoding="utf-8"?>
<sst xmlns="http://schemas.openxmlformats.org/spreadsheetml/2006/main" count="877" uniqueCount="262">
  <si>
    <t>№ п/п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</si>
  <si>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</si>
  <si>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</si>
  <si>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</si>
  <si>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</si>
  <si>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</si>
  <si>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</si>
  <si>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</si>
  <si>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Стоимость капитального ремонта</t>
  </si>
  <si>
    <t>Удельная стоимость капитального ремонта 1 кв. м общей площади помещений МКД</t>
  </si>
  <si>
    <t>Предельная стоимость капитального ремонта 1 кв. м общей площади помещений МКД</t>
  </si>
  <si>
    <t>Плановая дата завершения работ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</si>
  <si>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</si>
  <si>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</si>
  <si>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</si>
  <si>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</si>
  <si>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в том числе: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</si>
  <si>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</si>
  <si>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</si>
  <si>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</si>
  <si>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кв.м</t>
  </si>
  <si>
    <t>чел.</t>
  </si>
  <si>
    <t>руб.</t>
  </si>
  <si>
    <t>руб./кв.м</t>
  </si>
  <si>
    <t>за счет средств Фонда*</t>
  </si>
  <si>
    <t>Адрес многоквартирного дома (далее - МКД)</t>
  </si>
  <si>
    <t>панели</t>
  </si>
  <si>
    <t>кирпич</t>
  </si>
  <si>
    <t>х</t>
  </si>
  <si>
    <t>Согласовано:</t>
  </si>
  <si>
    <t>Заместитель начальника Главного управления</t>
  </si>
  <si>
    <t xml:space="preserve">и жилищной политики администрации города Твери                                                                                       </t>
  </si>
  <si>
    <t>Часть I. Перечень многоквартирных домов, которые подлежат капитальному ремонту</t>
  </si>
  <si>
    <t>Итого по муниципальному образованию город Тверь</t>
  </si>
  <si>
    <t>"Государственная жилищная инспекция" Тверской области _________________ А.М. Латышев</t>
  </si>
  <si>
    <t>ед.</t>
  </si>
  <si>
    <t>кв.м.</t>
  </si>
  <si>
    <t>Часть III.  Планируемые показатели выполнения работ по капитальному ремонту многоквартирных домов</t>
  </si>
  <si>
    <t>общая площадь многоквартирных домов (далее - МКД), всего</t>
  </si>
  <si>
    <t>Количество МКД</t>
  </si>
  <si>
    <t>I квартал</t>
  </si>
  <si>
    <t>II квартал</t>
  </si>
  <si>
    <t>III квартал</t>
  </si>
  <si>
    <t>IV квартал</t>
  </si>
  <si>
    <t>12.2016</t>
  </si>
  <si>
    <t>ИТОГО</t>
  </si>
  <si>
    <t>Формирование фонда капитального ремонта многоквартирного дома на счете некоммерческой организации -"Фонд капитального ремонта многоквартирных домов Тверской области" (далее - региональный оператор)</t>
  </si>
  <si>
    <t>Формирование фонда капитального ремонта многоквартирного дома на специальном счете, владельцем которого является региональный оператор</t>
  </si>
  <si>
    <t>Формирование фонда капитального ремонта многоквартирного дома на специальном счете, владельцем которого является товарищество собственников жилья, жилищный кооператив, иной специализированный потребительский кооператив, управляющая компания</t>
  </si>
  <si>
    <t>ВСЕГО</t>
  </si>
  <si>
    <t xml:space="preserve">И.о.начальника департамента жилищно-коммунального хозяйства                                                                                       </t>
  </si>
  <si>
    <t xml:space="preserve">Генеральный директор Фонда капитального </t>
  </si>
  <si>
    <t>ремонта многоквартирных домов Тверской области _____________ С.Н.Бойков</t>
  </si>
  <si>
    <t>Т.И.Булыженкова</t>
  </si>
  <si>
    <t>Приложение к постановлению администрации города Твери</t>
  </si>
  <si>
    <t>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город Тверь на 2016 год с определением  видов и объемов финансирования работ по капитальному ремонту</t>
  </si>
  <si>
    <t>улица Тамары Ильиной, дом 9/19</t>
  </si>
  <si>
    <t>улица Веселова, дом 34/28</t>
  </si>
  <si>
    <t>улица Благоева, дом 6А</t>
  </si>
  <si>
    <t>улица Зинаиды Коноплянниковой, дом 19 корпус 2</t>
  </si>
  <si>
    <t>проспект Победы, дом 38/45</t>
  </si>
  <si>
    <t>улица 15 лет Октября, дом 47</t>
  </si>
  <si>
    <t>улица Гвардейская, дом 9 корпус 1</t>
  </si>
  <si>
    <t>улица Орджоникидзе, дом 14</t>
  </si>
  <si>
    <t>улица Фадеева, дом 34 корпус 1</t>
  </si>
  <si>
    <t>проспект Победы, дом 2А</t>
  </si>
  <si>
    <t>проспект Чайковского, дом 24/2Б</t>
  </si>
  <si>
    <t>улица Маршала Василевского, дом 18</t>
  </si>
  <si>
    <t>бульвар Ногина, дом 4</t>
  </si>
  <si>
    <t>улица Карла Маркса, дом 5</t>
  </si>
  <si>
    <t>улица Тамары Ильиной, дом 7 корпус 1</t>
  </si>
  <si>
    <t>улица Лукина, дом 14</t>
  </si>
  <si>
    <t>проспект Победы, дом 4А</t>
  </si>
  <si>
    <t>улица Королева, дом 4</t>
  </si>
  <si>
    <t>улица Горького, дом 106</t>
  </si>
  <si>
    <t>проспект 50 лет Октября, дом 2/19</t>
  </si>
  <si>
    <t>поселок Химинститута, дом 20</t>
  </si>
  <si>
    <t>поселок Химинститута, дом 38</t>
  </si>
  <si>
    <t>проспект Победы, дом 32/3</t>
  </si>
  <si>
    <t>набережная  Афанасия Никитина, дом 24а</t>
  </si>
  <si>
    <t>поселок Литвинки, дом 27</t>
  </si>
  <si>
    <t>улица Зинаиды Коноплянниковой, дом 14</t>
  </si>
  <si>
    <t>улица Екатерины Фарафоновой, дом 37</t>
  </si>
  <si>
    <t>улица Горького, дом 4А</t>
  </si>
  <si>
    <t>улица Чудова, дом 19</t>
  </si>
  <si>
    <t>улица Академическая, дом 22</t>
  </si>
  <si>
    <t>поселок Химинститута, дом 32</t>
  </si>
  <si>
    <t>улица Терещенко, дом 35</t>
  </si>
  <si>
    <t>проспект Победы, дом 28 корпус 1</t>
  </si>
  <si>
    <t>улица Богданова, дом 33/15</t>
  </si>
  <si>
    <t>улица Коробкова, дом 18</t>
  </si>
  <si>
    <t>улица Орджоникидзе, дом 46 корпус 4</t>
  </si>
  <si>
    <t>улица Склизкова, дом 54/25</t>
  </si>
  <si>
    <t>улица Кайкова, дом 4А</t>
  </si>
  <si>
    <t>улица Королева, дом 16/1</t>
  </si>
  <si>
    <t>улица Королева, дом 24</t>
  </si>
  <si>
    <t>улица Паши Савельевой, дом 39 корпус 3</t>
  </si>
  <si>
    <t>улица Громова, дом 36 корпус 2</t>
  </si>
  <si>
    <t>1-й проезд Карпинского, дом 2/60</t>
  </si>
  <si>
    <t>улица 2-я Грибоедова, дом 8/1</t>
  </si>
  <si>
    <t>улица Седова, дом 120Б</t>
  </si>
  <si>
    <t>улица Мусоргского, дом 38/33</t>
  </si>
  <si>
    <t>улица Хромова, дом 16</t>
  </si>
  <si>
    <t>проспект Октябрьский, дом 69</t>
  </si>
  <si>
    <t>1-й проезд Карпинского, дом 4</t>
  </si>
  <si>
    <t>бульвар Профсоюзов, дом 21</t>
  </si>
  <si>
    <t>переулок Перекопский, дом 11А</t>
  </si>
  <si>
    <t>улица Румянцева, дом 24/40</t>
  </si>
  <si>
    <t>улица Седова, дом 1Б</t>
  </si>
  <si>
    <t>улица Ипподромная, дом 10</t>
  </si>
  <si>
    <t>Московское шоссе, дом 13</t>
  </si>
  <si>
    <t>поселок Химинститута, дом 7</t>
  </si>
  <si>
    <t>поселок Химинститута, дом 13</t>
  </si>
  <si>
    <t>улица 15 лет Октября, дом 56</t>
  </si>
  <si>
    <t>улица 15 лет Октября, дом 60</t>
  </si>
  <si>
    <t>улица 15 лет Октября, дом 58 корпус 1</t>
  </si>
  <si>
    <t>улица Богданова, дом 26/17</t>
  </si>
  <si>
    <t>улица Богданова, дом 29</t>
  </si>
  <si>
    <t>улица Вагжанова, дом 4</t>
  </si>
  <si>
    <t>улица Гвардейская, дом 5</t>
  </si>
  <si>
    <t>улица Ипподромная, дом 6Б</t>
  </si>
  <si>
    <t>улица Московская, дом 78</t>
  </si>
  <si>
    <t>улица Орджоникидзе, дом 1</t>
  </si>
  <si>
    <t>улица Орджоникидзе, дом 11</t>
  </si>
  <si>
    <t>улица Орджоникидзе, дом 12/1</t>
  </si>
  <si>
    <t>улица Резинстроя, дом 2/7</t>
  </si>
  <si>
    <t>улица Склизкова, дом 60</t>
  </si>
  <si>
    <t>улица Склизкова, дом 94</t>
  </si>
  <si>
    <t>улица Терещенко, дом 41 корпус 1</t>
  </si>
  <si>
    <t>улица Хромова, дом 8</t>
  </si>
  <si>
    <t>улица Маршала Василевского, дом 20</t>
  </si>
  <si>
    <t>улица Академика Туполева, дом 112/24</t>
  </si>
  <si>
    <t>улица Ипподромная, дом 7 корпус 1</t>
  </si>
  <si>
    <t>улица Лукина, дом 8</t>
  </si>
  <si>
    <t>улица Озерная, дом 23</t>
  </si>
  <si>
    <t>улица Орджоникидзе, дом 13/26</t>
  </si>
  <si>
    <t>улица Орджоникидзе, дом 4/2</t>
  </si>
  <si>
    <t>улица Орджоникидзе, дом 5</t>
  </si>
  <si>
    <t>улица Орджоникидзе, дом 3</t>
  </si>
  <si>
    <t>улица Орджоникидзе, дом 8</t>
  </si>
  <si>
    <t>улица Ротмистрова, дом 17</t>
  </si>
  <si>
    <t>улица Склизкова, дом 88</t>
  </si>
  <si>
    <t>переулок Артиллерийский, дом 12</t>
  </si>
  <si>
    <t>улица Бобкова, дом 2</t>
  </si>
  <si>
    <t>улица Дарвина, дом 2</t>
  </si>
  <si>
    <t>улица Кирова, дом 3А</t>
  </si>
  <si>
    <t>улица Горького, дом 10</t>
  </si>
  <si>
    <t>проспект Ленина, дом 14 корпус 2</t>
  </si>
  <si>
    <t>проспект Ленина, дом 43</t>
  </si>
  <si>
    <t>шоссе Петербургское, дом 14, корпус 1</t>
  </si>
  <si>
    <t>шоссе Петербургское, дом 60</t>
  </si>
  <si>
    <t>улица 6-я Пролетарская, дом 19</t>
  </si>
  <si>
    <t>улица Скворцова-Степанова, дом 16</t>
  </si>
  <si>
    <t>переулок Смоленский, дом 8, корпус 1</t>
  </si>
  <si>
    <t>территория Товарный двор, дом 483А</t>
  </si>
  <si>
    <t>улица Маршала Буденого, дом 19/1</t>
  </si>
  <si>
    <t>улица Дарвина, дом 4 корпус 1</t>
  </si>
  <si>
    <t>бульвар Радищева, дом 26</t>
  </si>
  <si>
    <t>двор Пролетарки, дом 119</t>
  </si>
  <si>
    <t>улица Крылова, дом 5</t>
  </si>
  <si>
    <t>улица Мичурина, дом 37/23</t>
  </si>
  <si>
    <t>бульвар Гусева, дом 41</t>
  </si>
  <si>
    <t>бульвар Гусева, дом 45 корпус 1</t>
  </si>
  <si>
    <t>улица Брагина, дом 44</t>
  </si>
  <si>
    <t>улица Советская, дом 60</t>
  </si>
  <si>
    <t>улица Мусоргского, дом 32/32</t>
  </si>
  <si>
    <t>улица Советская, дом 24</t>
  </si>
  <si>
    <t>улица Учительская, дом 39</t>
  </si>
  <si>
    <t>переулок Перекопский, дом 15</t>
  </si>
  <si>
    <t>1-й проезд Розы Люксембург, дом 6</t>
  </si>
  <si>
    <t>улица Горького, дом 89</t>
  </si>
  <si>
    <t>улица Спартака, дом 4/2</t>
  </si>
  <si>
    <t>бульвар Гусева, дом 9</t>
  </si>
  <si>
    <t>проспект Победы, дом 36/46</t>
  </si>
  <si>
    <t>бульвар Цанова, дом 10</t>
  </si>
  <si>
    <t>проезд Зеленый, дом 47 корпус 2</t>
  </si>
  <si>
    <t>улица Ротмистрова, дом 20</t>
  </si>
  <si>
    <t>улица 15 лет Октября, дом 64/23</t>
  </si>
  <si>
    <t>улица Скворцова - Степанова, дом 10</t>
  </si>
  <si>
    <t>переулок Никитина, дом 5</t>
  </si>
  <si>
    <t>проспект Чайковского, дом 37</t>
  </si>
  <si>
    <t>переулок Университетский, дом 3</t>
  </si>
  <si>
    <t>улица Машинистов, дом 3</t>
  </si>
  <si>
    <t>набережная Афанасия Никитина, дом 24</t>
  </si>
  <si>
    <t>улица Благоева, дом 4 корпус 2</t>
  </si>
  <si>
    <t>улица Горького, дом 70</t>
  </si>
  <si>
    <t>улица Ипподромная, дом 22</t>
  </si>
  <si>
    <t>улица Склизкова, дом 80</t>
  </si>
  <si>
    <t>поселок Химинститута, дом 9</t>
  </si>
  <si>
    <t>улица Севастьянова, дом 7 корпус 1</t>
  </si>
  <si>
    <t>бульвар Ногина, дом 2</t>
  </si>
  <si>
    <t>двор Пролетарки, дом 43</t>
  </si>
  <si>
    <t>проспект Калинина, дом 9</t>
  </si>
  <si>
    <t>проспект Ленина, дом 40</t>
  </si>
  <si>
    <t>улица 6-я Пролетарская, дом 16</t>
  </si>
  <si>
    <t>улица 6-я Пролетарская, дом 17</t>
  </si>
  <si>
    <t>улица Бориса Полевого, дом 10/11</t>
  </si>
  <si>
    <t>улица Громова, дом 28 корпус 2</t>
  </si>
  <si>
    <t>улица Ржевская, дом 14</t>
  </si>
  <si>
    <t>улица Строителей, дом 12</t>
  </si>
  <si>
    <t>улица Чудова, дом 14</t>
  </si>
  <si>
    <t>улица Академическая, дом 16</t>
  </si>
  <si>
    <t>улица Паши Савельевой, дом 7</t>
  </si>
  <si>
    <t>улица Седова, дом 120А</t>
  </si>
  <si>
    <t>проспект Ленина, дом 43А</t>
  </si>
  <si>
    <t>улица Громова, дом 30</t>
  </si>
  <si>
    <t>бульвар Гусева, дом 39</t>
  </si>
  <si>
    <t>улица Евгения Пичугина, дом 21, корпус 3</t>
  </si>
  <si>
    <t>переулок Коллективный, дом 6</t>
  </si>
  <si>
    <t xml:space="preserve">улица Новоторжская, дом 7 </t>
  </si>
  <si>
    <t>улица Терещенко, дом 28</t>
  </si>
  <si>
    <t xml:space="preserve">улица Можайского, дом 51 </t>
  </si>
  <si>
    <t xml:space="preserve">улица Маршала Буденого, дом 4 </t>
  </si>
  <si>
    <t xml:space="preserve">улица Прядильная, дом 13 </t>
  </si>
  <si>
    <t>улица 15 лет Октября, дом 62 корпус 1</t>
  </si>
  <si>
    <t>улица Советская, дом 8</t>
  </si>
  <si>
    <t>до 1917</t>
  </si>
  <si>
    <t>шлако-блок</t>
  </si>
  <si>
    <t>шлакобетон</t>
  </si>
  <si>
    <t>шлакоблок</t>
  </si>
  <si>
    <t>блоки</t>
  </si>
  <si>
    <t>киирпич</t>
  </si>
  <si>
    <t>бульвар Гусева, дом 25</t>
  </si>
  <si>
    <t xml:space="preserve">проезд Зеленый, дом 47 корпус 1 </t>
  </si>
  <si>
    <t>дерево</t>
  </si>
  <si>
    <t>шлакоблоки</t>
  </si>
  <si>
    <t>4-5</t>
  </si>
  <si>
    <t>И.о. начальника департамента жилищно-коммунального хозяйства</t>
  </si>
  <si>
    <t>и жилищной политики администрации города Твери</t>
  </si>
  <si>
    <t>Т.И. Булыженкова</t>
  </si>
  <si>
    <t>Часть II.  Реестр многоквартирных домов, которые подлежат капитальному ремонту по видам ремонта</t>
  </si>
  <si>
    <t>№ п\п</t>
  </si>
  <si>
    <t>Общая стоимость капитального ремонта</t>
  </si>
  <si>
    <t>Ремонт внутридомовых инженерных систем</t>
  </si>
  <si>
    <t>ремонт или замена лифтового оборудования, ремонт лифтовых шахт</t>
  </si>
  <si>
    <t>ремонт крыши</t>
  </si>
  <si>
    <t>ремонт подвальных помещений</t>
  </si>
  <si>
    <t>ремонт фасада</t>
  </si>
  <si>
    <t>ремонт фундамента</t>
  </si>
  <si>
    <t>Разработка проектно-сметной документации</t>
  </si>
  <si>
    <t>Услуги по строительному контролю</t>
  </si>
  <si>
    <t>Примечание</t>
  </si>
  <si>
    <t>Всего</t>
  </si>
  <si>
    <t>Ремонт системы электроснабжения</t>
  </si>
  <si>
    <t>Ремонт системы теплоснабжения</t>
  </si>
  <si>
    <t>Ремонт системы холодного водоснабжения</t>
  </si>
  <si>
    <t>Ремонт системы горячего водоснабжения</t>
  </si>
  <si>
    <t>Ремонт системы водоотведения</t>
  </si>
  <si>
    <t>Ремонт системы газоснабжения</t>
  </si>
  <si>
    <t>Всего стоимость капитального ремонта с учетом строит. Контроля и ПСД</t>
  </si>
  <si>
    <t>куб.м.</t>
  </si>
  <si>
    <t>бульвар Гусева, дом 25 своя смета</t>
  </si>
  <si>
    <t>проезд Зеленый, дом 47 корпус 1</t>
  </si>
  <si>
    <t>улица Артюхиной, дом 7</t>
  </si>
  <si>
    <t>набережная Мигаловская, дом 10А</t>
  </si>
  <si>
    <t xml:space="preserve"> шоссе Петербургское , дом 7А</t>
  </si>
  <si>
    <t>шоссе Петербургское, дом 50</t>
  </si>
  <si>
    <t>шоссе Петербургское , дом 86</t>
  </si>
  <si>
    <t>шоссе Петербургское, дом 7А</t>
  </si>
  <si>
    <t xml:space="preserve"> шоссе Петербургское, дом 86</t>
  </si>
  <si>
    <t>проспект Победы, дом 22/15</t>
  </si>
  <si>
    <r>
      <t>«</t>
    </r>
    <r>
      <rPr>
        <u/>
        <sz val="14"/>
        <color indexed="8"/>
        <rFont val="Times New Roman"/>
        <family val="1"/>
        <charset val="204"/>
      </rPr>
      <t>31</t>
    </r>
    <r>
      <rPr>
        <sz val="14"/>
        <color indexed="8"/>
        <rFont val="Times New Roman"/>
        <family val="1"/>
        <charset val="204"/>
      </rPr>
      <t xml:space="preserve">» </t>
    </r>
    <r>
      <rPr>
        <u/>
        <sz val="14"/>
        <color indexed="8"/>
        <rFont val="Times New Roman"/>
        <family val="1"/>
        <charset val="204"/>
      </rPr>
      <t xml:space="preserve">03 </t>
    </r>
    <r>
      <rPr>
        <sz val="14"/>
        <color indexed="8"/>
        <rFont val="Times New Roman"/>
        <family val="1"/>
        <charset val="204"/>
      </rPr>
      <t>2016 года  №</t>
    </r>
    <r>
      <rPr>
        <u/>
        <sz val="14"/>
        <color indexed="8"/>
        <rFont val="Times New Roman"/>
        <family val="1"/>
        <charset val="204"/>
      </rPr>
      <t>561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</si>
</sst>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_ ;\-#,##0\ "/>
    <numFmt numFmtId="165" formatCode="#,##0.0"/>
    <numFmt numFmtId="166" formatCode="0.0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6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8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43" fontId="2" fillId="0" borderId="0" applyFont="0" applyFill="0" applyBorder="0" applyAlignment="0" applyProtection="0"/>
  </cellStyleXfs>
  <cellXfs count="192">
    <xf numFmtId="0" fontId="0" fillId="0" borderId="0" xfId="0"/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43" fontId="6" fillId="0" borderId="1" xfId="8" applyFont="1" applyFill="1" applyBorder="1" applyAlignment="1">
      <alignment horizontal="center" vertical="center"/>
    </xf>
    <xf numFmtId="0" fontId="4" fillId="0" borderId="1" xfId="0" applyFont="1" applyFill="1" applyBorder="1"/>
    <xf numFmtId="4" fontId="3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/>
    <xf numFmtId="0" fontId="12" fillId="0" borderId="0" xfId="0" applyFont="1" applyAlignment="1"/>
    <xf numFmtId="0" fontId="13" fillId="0" borderId="0" xfId="0" applyFont="1"/>
    <xf numFmtId="0" fontId="12" fillId="0" borderId="0" xfId="0" applyFont="1"/>
    <xf numFmtId="0" fontId="7" fillId="0" borderId="0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/>
    </xf>
    <xf numFmtId="0" fontId="0" fillId="2" borderId="0" xfId="0" applyFill="1"/>
    <xf numFmtId="0" fontId="15" fillId="0" borderId="0" xfId="0" applyFont="1"/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43" fontId="3" fillId="0" borderId="1" xfId="8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0" fontId="16" fillId="0" borderId="0" xfId="0" applyFont="1"/>
    <xf numFmtId="4" fontId="17" fillId="0" borderId="0" xfId="0" applyNumberFormat="1" applyFont="1" applyBorder="1" applyAlignment="1">
      <alignment horizontal="center" vertical="center" wrapText="1"/>
    </xf>
    <xf numFmtId="0" fontId="16" fillId="0" borderId="0" xfId="0" applyFont="1" applyAlignment="1"/>
    <xf numFmtId="0" fontId="12" fillId="0" borderId="0" xfId="0" applyFont="1" applyFill="1" applyBorder="1"/>
    <xf numFmtId="165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4" fontId="8" fillId="0" borderId="10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165" fontId="8" fillId="0" borderId="10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43" fontId="14" fillId="0" borderId="1" xfId="8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43" fontId="8" fillId="0" borderId="15" xfId="8" applyFont="1" applyFill="1" applyBorder="1" applyAlignment="1">
      <alignment horizontal="center"/>
    </xf>
    <xf numFmtId="3" fontId="8" fillId="0" borderId="10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3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43" fontId="6" fillId="2" borderId="1" xfId="8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vertical="center" wrapText="1"/>
    </xf>
    <xf numFmtId="0" fontId="0" fillId="0" borderId="0" xfId="0" applyFill="1"/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4" fontId="14" fillId="2" borderId="5" xfId="0" applyNumberFormat="1" applyFont="1" applyFill="1" applyBorder="1" applyAlignment="1">
      <alignment horizontal="center" vertical="center"/>
    </xf>
    <xf numFmtId="4" fontId="14" fillId="0" borderId="5" xfId="0" applyNumberFormat="1" applyFont="1" applyFill="1" applyBorder="1" applyAlignment="1">
      <alignment horizontal="center" vertical="center"/>
    </xf>
    <xf numFmtId="43" fontId="14" fillId="0" borderId="5" xfId="0" applyNumberFormat="1" applyFont="1" applyFill="1" applyBorder="1" applyAlignment="1">
      <alignment horizontal="center" vertical="center" wrapText="1"/>
    </xf>
    <xf numFmtId="43" fontId="14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3" fontId="14" fillId="2" borderId="1" xfId="0" applyNumberFormat="1" applyFont="1" applyFill="1" applyBorder="1" applyAlignment="1">
      <alignment horizontal="center" vertical="center" wrapText="1"/>
    </xf>
    <xf numFmtId="43" fontId="14" fillId="2" borderId="8" xfId="0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vertical="center" wrapText="1"/>
    </xf>
    <xf numFmtId="43" fontId="6" fillId="2" borderId="1" xfId="8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19" fillId="2" borderId="0" xfId="0" applyFont="1" applyFill="1"/>
    <xf numFmtId="0" fontId="0" fillId="2" borderId="0" xfId="0" applyFont="1" applyFill="1"/>
    <xf numFmtId="0" fontId="0" fillId="4" borderId="0" xfId="0" applyFill="1"/>
    <xf numFmtId="0" fontId="6" fillId="0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/>
    </xf>
    <xf numFmtId="4" fontId="22" fillId="2" borderId="0" xfId="0" applyNumberFormat="1" applyFont="1" applyFill="1" applyBorder="1" applyAlignment="1">
      <alignment horizontal="center" vertical="center" wrapText="1"/>
    </xf>
    <xf numFmtId="0" fontId="23" fillId="0" borderId="0" xfId="0" applyFont="1" applyBorder="1"/>
    <xf numFmtId="0" fontId="12" fillId="2" borderId="0" xfId="0" applyFont="1" applyFill="1" applyBorder="1"/>
    <xf numFmtId="0" fontId="12" fillId="2" borderId="0" xfId="0" applyFont="1" applyFill="1" applyAlignment="1"/>
    <xf numFmtId="4" fontId="12" fillId="0" borderId="0" xfId="0" applyNumberFormat="1" applyFont="1" applyAlignment="1"/>
    <xf numFmtId="0" fontId="13" fillId="2" borderId="0" xfId="0" applyFont="1" applyFill="1"/>
    <xf numFmtId="0" fontId="12" fillId="2" borderId="0" xfId="0" applyFont="1" applyFill="1"/>
    <xf numFmtId="0" fontId="15" fillId="2" borderId="0" xfId="0" applyFont="1" applyFill="1"/>
    <xf numFmtId="0" fontId="12" fillId="0" borderId="21" xfId="0" applyFont="1" applyBorder="1" applyAlignment="1"/>
    <xf numFmtId="0" fontId="15" fillId="0" borderId="21" xfId="0" applyFont="1" applyBorder="1"/>
    <xf numFmtId="0" fontId="18" fillId="2" borderId="1" xfId="0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8" fillId="0" borderId="9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textRotation="90"/>
    </xf>
    <xf numFmtId="0" fontId="3" fillId="0" borderId="1" xfId="0" applyFont="1" applyFill="1" applyBorder="1" applyAlignment="1">
      <alignment horizontal="center" vertical="center" textRotation="90"/>
    </xf>
    <xf numFmtId="0" fontId="6" fillId="0" borderId="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textRotation="90" wrapText="1"/>
    </xf>
    <xf numFmtId="0" fontId="6" fillId="0" borderId="16" xfId="0" applyFont="1" applyFill="1" applyBorder="1" applyAlignment="1">
      <alignment horizontal="center" vertical="center" textRotation="90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1" xfId="0" applyBorder="1"/>
    <xf numFmtId="0" fontId="19" fillId="0" borderId="5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5" xfId="5"/>
    <cellStyle name="Обычный 6" xfId="6"/>
    <cellStyle name="Обычный 7" xfId="7"/>
    <cellStyle name="Финансовый" xfId="8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S198"/>
  <sheetViews>
    <sheetView tabSelected="1" view="pageBreakPreview" topLeftCell="E1" zoomScaleNormal="55" zoomScaleSheetLayoutView="100" workbookViewId="0">
      <selection activeCell="M2" sqref="M2"/>
    </sheetView>
  </sheetViews>
  <sheetFormatPr defaultRowHeight="15" x14ac:dyDescent="0.25"/>
  <cols>
    <col min="1" max="1" width="6.85546875" customWidth="1"/>
    <col min="2" max="2" width="35.42578125" customWidth="1"/>
    <col min="3" max="3" width="9" customWidth="1"/>
    <col min="4" max="4" width="9.28515625" customWidth="1"/>
    <col min="5" max="5" width="12.140625" customWidth="1"/>
    <col min="6" max="6" width="7.85546875" customWidth="1"/>
    <col min="7" max="7" width="7.7109375" customWidth="1"/>
    <col min="8" max="8" width="14.42578125" customWidth="1"/>
    <col min="9" max="9" width="14.85546875" customWidth="1"/>
    <col min="10" max="10" width="13" customWidth="1"/>
    <col min="11" max="11" width="10.42578125" customWidth="1"/>
    <col min="12" max="12" width="17.85546875" customWidth="1"/>
    <col min="13" max="13" width="9.5703125" customWidth="1"/>
    <col min="14" max="15" width="9.28515625" customWidth="1"/>
    <col min="16" max="16" width="15.7109375" customWidth="1"/>
    <col min="17" max="18" width="9.28515625" customWidth="1"/>
    <col min="19" max="19" width="9.5703125" customWidth="1"/>
  </cols>
  <sheetData>
    <row r="1" spans="1:19" ht="18.7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M1" s="156" t="s">
        <v>54</v>
      </c>
      <c r="N1" s="156"/>
      <c r="O1" s="156"/>
      <c r="P1" s="156"/>
      <c r="Q1" s="156"/>
      <c r="R1" s="156"/>
      <c r="S1" s="156"/>
    </row>
    <row r="2" spans="1:19" ht="18.75" x14ac:dyDescent="0.3">
      <c r="A2" s="3"/>
      <c r="B2" s="3"/>
      <c r="C2" s="3"/>
      <c r="D2" s="3"/>
      <c r="E2" s="3"/>
      <c r="F2" s="3"/>
      <c r="G2" s="3"/>
      <c r="H2" s="3"/>
      <c r="I2" s="4"/>
      <c r="J2" s="4"/>
      <c r="K2" s="4"/>
      <c r="M2" s="19" t="s">
        <v>261</v>
      </c>
      <c r="N2" s="19"/>
      <c r="O2" s="19"/>
      <c r="P2" s="19"/>
      <c r="Q2" s="19"/>
      <c r="R2" s="19"/>
      <c r="S2" s="19"/>
    </row>
    <row r="3" spans="1:19" ht="18.75" x14ac:dyDescent="0.3">
      <c r="A3" s="3"/>
      <c r="B3" s="3"/>
      <c r="C3" s="3"/>
      <c r="D3" s="3"/>
      <c r="E3" s="3"/>
      <c r="F3" s="3"/>
      <c r="G3" s="3"/>
      <c r="H3" s="3"/>
      <c r="I3" s="4"/>
      <c r="J3" s="4"/>
      <c r="K3" s="4"/>
      <c r="L3" s="5"/>
      <c r="M3" s="5"/>
      <c r="N3" s="5"/>
      <c r="O3" s="5"/>
      <c r="P3" s="5"/>
      <c r="Q3" s="5"/>
      <c r="R3" s="5"/>
      <c r="S3" s="5"/>
    </row>
    <row r="4" spans="1:19" ht="41.25" customHeight="1" x14ac:dyDescent="0.25">
      <c r="A4" s="157" t="s">
        <v>55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</row>
    <row r="5" spans="1:19" ht="18.75" customHeight="1" thickBot="1" x14ac:dyDescent="0.3">
      <c r="A5" s="158" t="s">
        <v>32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</row>
    <row r="6" spans="1:19" ht="24" customHeight="1" x14ac:dyDescent="0.25">
      <c r="A6" s="160" t="s">
        <v>0</v>
      </c>
      <c r="B6" s="140" t="s">
        <v>25</v>
      </c>
      <c r="C6" s="163" t="s">
        <v>1</v>
      </c>
      <c r="D6" s="163"/>
      <c r="E6" s="164" t="s">
        <v>2</v>
      </c>
      <c r="F6" s="164" t="s">
        <v>3</v>
      </c>
      <c r="G6" s="164" t="s">
        <v>4</v>
      </c>
      <c r="H6" s="141" t="s">
        <v>5</v>
      </c>
      <c r="I6" s="140" t="s">
        <v>6</v>
      </c>
      <c r="J6" s="140"/>
      <c r="K6" s="141" t="s">
        <v>7</v>
      </c>
      <c r="L6" s="140" t="s">
        <v>8</v>
      </c>
      <c r="M6" s="140"/>
      <c r="N6" s="140"/>
      <c r="O6" s="140"/>
      <c r="P6" s="140"/>
      <c r="Q6" s="141" t="s">
        <v>9</v>
      </c>
      <c r="R6" s="141" t="s">
        <v>10</v>
      </c>
      <c r="S6" s="154" t="s">
        <v>11</v>
      </c>
    </row>
    <row r="7" spans="1:19" x14ac:dyDescent="0.25">
      <c r="A7" s="161"/>
      <c r="B7" s="162"/>
      <c r="C7" s="142" t="s">
        <v>12</v>
      </c>
      <c r="D7" s="142" t="s">
        <v>13</v>
      </c>
      <c r="E7" s="165"/>
      <c r="F7" s="165"/>
      <c r="G7" s="165"/>
      <c r="H7" s="142"/>
      <c r="I7" s="142" t="s">
        <v>14</v>
      </c>
      <c r="J7" s="142" t="s">
        <v>15</v>
      </c>
      <c r="K7" s="142"/>
      <c r="L7" s="142" t="s">
        <v>14</v>
      </c>
      <c r="M7" s="162" t="s">
        <v>16</v>
      </c>
      <c r="N7" s="162"/>
      <c r="O7" s="162"/>
      <c r="P7" s="162"/>
      <c r="Q7" s="142"/>
      <c r="R7" s="142"/>
      <c r="S7" s="155"/>
    </row>
    <row r="8" spans="1:19" ht="121.5" customHeight="1" x14ac:dyDescent="0.25">
      <c r="A8" s="161"/>
      <c r="B8" s="162"/>
      <c r="C8" s="142"/>
      <c r="D8" s="142"/>
      <c r="E8" s="165"/>
      <c r="F8" s="165"/>
      <c r="G8" s="165"/>
      <c r="H8" s="142"/>
      <c r="I8" s="142"/>
      <c r="J8" s="142"/>
      <c r="K8" s="142"/>
      <c r="L8" s="142"/>
      <c r="M8" s="68" t="s">
        <v>24</v>
      </c>
      <c r="N8" s="68" t="s">
        <v>17</v>
      </c>
      <c r="O8" s="68" t="s">
        <v>18</v>
      </c>
      <c r="P8" s="68" t="s">
        <v>19</v>
      </c>
      <c r="Q8" s="142"/>
      <c r="R8" s="142"/>
      <c r="S8" s="155"/>
    </row>
    <row r="9" spans="1:19" x14ac:dyDescent="0.25">
      <c r="A9" s="161"/>
      <c r="B9" s="162"/>
      <c r="C9" s="142"/>
      <c r="D9" s="142"/>
      <c r="E9" s="165"/>
      <c r="F9" s="165"/>
      <c r="G9" s="165"/>
      <c r="H9" s="69" t="s">
        <v>20</v>
      </c>
      <c r="I9" s="69" t="s">
        <v>20</v>
      </c>
      <c r="J9" s="69" t="s">
        <v>20</v>
      </c>
      <c r="K9" s="69" t="s">
        <v>21</v>
      </c>
      <c r="L9" s="69" t="s">
        <v>22</v>
      </c>
      <c r="M9" s="69" t="s">
        <v>22</v>
      </c>
      <c r="N9" s="69" t="s">
        <v>22</v>
      </c>
      <c r="O9" s="69" t="s">
        <v>22</v>
      </c>
      <c r="P9" s="69" t="s">
        <v>22</v>
      </c>
      <c r="Q9" s="69" t="s">
        <v>23</v>
      </c>
      <c r="R9" s="69" t="s">
        <v>23</v>
      </c>
      <c r="S9" s="155"/>
    </row>
    <row r="10" spans="1:19" ht="15.75" thickBot="1" x14ac:dyDescent="0.3">
      <c r="A10" s="40">
        <v>1</v>
      </c>
      <c r="B10" s="36">
        <v>2</v>
      </c>
      <c r="C10" s="36">
        <v>3</v>
      </c>
      <c r="D10" s="36">
        <v>4</v>
      </c>
      <c r="E10" s="36">
        <v>5</v>
      </c>
      <c r="F10" s="36">
        <v>6</v>
      </c>
      <c r="G10" s="36">
        <v>7</v>
      </c>
      <c r="H10" s="36">
        <v>8</v>
      </c>
      <c r="I10" s="36">
        <v>9</v>
      </c>
      <c r="J10" s="36">
        <v>10</v>
      </c>
      <c r="K10" s="36">
        <v>11</v>
      </c>
      <c r="L10" s="36">
        <v>12</v>
      </c>
      <c r="M10" s="36">
        <v>13</v>
      </c>
      <c r="N10" s="36">
        <v>14</v>
      </c>
      <c r="O10" s="36">
        <v>15</v>
      </c>
      <c r="P10" s="36">
        <v>16</v>
      </c>
      <c r="Q10" s="36">
        <v>17</v>
      </c>
      <c r="R10" s="36">
        <v>18</v>
      </c>
      <c r="S10" s="41">
        <v>19</v>
      </c>
    </row>
    <row r="11" spans="1:19" x14ac:dyDescent="0.25">
      <c r="A11" s="151" t="s">
        <v>46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3"/>
    </row>
    <row r="12" spans="1:19" s="22" customFormat="1" x14ac:dyDescent="0.25">
      <c r="A12" s="73">
        <v>1</v>
      </c>
      <c r="B12" s="65" t="s">
        <v>82</v>
      </c>
      <c r="C12" s="135">
        <v>1983</v>
      </c>
      <c r="D12" s="135"/>
      <c r="E12" s="135" t="s">
        <v>26</v>
      </c>
      <c r="F12" s="135">
        <v>9</v>
      </c>
      <c r="G12" s="135">
        <v>4</v>
      </c>
      <c r="H12" s="135">
        <v>7703.3</v>
      </c>
      <c r="I12" s="135">
        <v>7655.4</v>
      </c>
      <c r="J12" s="135">
        <v>7655.4</v>
      </c>
      <c r="K12" s="135">
        <v>306</v>
      </c>
      <c r="L12" s="66">
        <v>437998.57</v>
      </c>
      <c r="M12" s="136">
        <v>0</v>
      </c>
      <c r="N12" s="136">
        <v>0</v>
      </c>
      <c r="O12" s="136">
        <v>0</v>
      </c>
      <c r="P12" s="136">
        <v>437998.57</v>
      </c>
      <c r="Q12" s="72">
        <f t="shared" ref="Q12:Q43" si="0">L12/I12</f>
        <v>57.214328447892996</v>
      </c>
      <c r="R12" s="73">
        <v>6774</v>
      </c>
      <c r="S12" s="135" t="s">
        <v>44</v>
      </c>
    </row>
    <row r="13" spans="1:19" x14ac:dyDescent="0.25">
      <c r="A13" s="73">
        <v>2</v>
      </c>
      <c r="B13" s="65" t="s">
        <v>255</v>
      </c>
      <c r="C13" s="135">
        <v>1884</v>
      </c>
      <c r="D13" s="135"/>
      <c r="E13" s="135" t="s">
        <v>27</v>
      </c>
      <c r="F13" s="135">
        <v>2</v>
      </c>
      <c r="G13" s="135">
        <v>2</v>
      </c>
      <c r="H13" s="135">
        <v>975.5</v>
      </c>
      <c r="I13" s="135">
        <v>886</v>
      </c>
      <c r="J13" s="135">
        <f>886-323.3</f>
        <v>562.70000000000005</v>
      </c>
      <c r="K13" s="135">
        <v>52</v>
      </c>
      <c r="L13" s="66">
        <v>651523.25</v>
      </c>
      <c r="M13" s="136">
        <v>0</v>
      </c>
      <c r="N13" s="136">
        <v>0</v>
      </c>
      <c r="O13" s="136">
        <v>0</v>
      </c>
      <c r="P13" s="136">
        <v>651523.25</v>
      </c>
      <c r="Q13" s="72">
        <f t="shared" si="0"/>
        <v>735.35355530474044</v>
      </c>
      <c r="R13" s="73">
        <v>6774</v>
      </c>
      <c r="S13" s="135" t="s">
        <v>44</v>
      </c>
    </row>
    <row r="14" spans="1:19" x14ac:dyDescent="0.25">
      <c r="A14" s="73">
        <v>3</v>
      </c>
      <c r="B14" s="64" t="s">
        <v>157</v>
      </c>
      <c r="C14" s="135">
        <v>1860</v>
      </c>
      <c r="D14" s="135"/>
      <c r="E14" s="135" t="s">
        <v>27</v>
      </c>
      <c r="F14" s="135">
        <v>3</v>
      </c>
      <c r="G14" s="135">
        <v>1</v>
      </c>
      <c r="H14" s="135">
        <v>632.1</v>
      </c>
      <c r="I14" s="135">
        <v>533.6</v>
      </c>
      <c r="J14" s="135">
        <v>533.6</v>
      </c>
      <c r="K14" s="135">
        <v>11</v>
      </c>
      <c r="L14" s="66">
        <v>560421</v>
      </c>
      <c r="M14" s="136">
        <v>0</v>
      </c>
      <c r="N14" s="136">
        <v>0</v>
      </c>
      <c r="O14" s="136">
        <v>0</v>
      </c>
      <c r="P14" s="136">
        <v>560421</v>
      </c>
      <c r="Q14" s="72">
        <f t="shared" si="0"/>
        <v>1050.2642428785607</v>
      </c>
      <c r="R14" s="73">
        <v>6774</v>
      </c>
      <c r="S14" s="135" t="s">
        <v>44</v>
      </c>
    </row>
    <row r="15" spans="1:19" x14ac:dyDescent="0.25">
      <c r="A15" s="73">
        <v>4</v>
      </c>
      <c r="B15" s="64" t="s">
        <v>191</v>
      </c>
      <c r="C15" s="135">
        <v>1914</v>
      </c>
      <c r="D15" s="135"/>
      <c r="E15" s="135" t="s">
        <v>27</v>
      </c>
      <c r="F15" s="135">
        <v>4</v>
      </c>
      <c r="G15" s="135">
        <v>5</v>
      </c>
      <c r="H15" s="135">
        <v>2953.4</v>
      </c>
      <c r="I15" s="135">
        <v>2592.5</v>
      </c>
      <c r="J15" s="135">
        <f>2592.5-231.93</f>
        <v>2360.5700000000002</v>
      </c>
      <c r="K15" s="135">
        <v>72</v>
      </c>
      <c r="L15" s="66">
        <v>698585</v>
      </c>
      <c r="M15" s="136">
        <v>0</v>
      </c>
      <c r="N15" s="136">
        <v>0</v>
      </c>
      <c r="O15" s="136">
        <v>0</v>
      </c>
      <c r="P15" s="136">
        <v>698585</v>
      </c>
      <c r="Q15" s="72">
        <f t="shared" si="0"/>
        <v>269.46383799421409</v>
      </c>
      <c r="R15" s="73">
        <v>6774</v>
      </c>
      <c r="S15" s="135" t="s">
        <v>44</v>
      </c>
    </row>
    <row r="16" spans="1:19" x14ac:dyDescent="0.25">
      <c r="A16" s="73">
        <v>5</v>
      </c>
      <c r="B16" s="65" t="s">
        <v>106</v>
      </c>
      <c r="C16" s="135">
        <v>1958</v>
      </c>
      <c r="D16" s="135"/>
      <c r="E16" s="135" t="s">
        <v>27</v>
      </c>
      <c r="F16" s="135">
        <v>3</v>
      </c>
      <c r="G16" s="135">
        <v>2</v>
      </c>
      <c r="H16" s="135">
        <f>1009.6+58.6</f>
        <v>1068.2</v>
      </c>
      <c r="I16" s="135">
        <v>1009.6</v>
      </c>
      <c r="J16" s="135">
        <f>I16-70</f>
        <v>939.6</v>
      </c>
      <c r="K16" s="135">
        <v>35</v>
      </c>
      <c r="L16" s="66">
        <v>178272.59</v>
      </c>
      <c r="M16" s="136">
        <v>0</v>
      </c>
      <c r="N16" s="136">
        <v>0</v>
      </c>
      <c r="O16" s="136">
        <v>0</v>
      </c>
      <c r="P16" s="136">
        <v>178272.59</v>
      </c>
      <c r="Q16" s="72">
        <f t="shared" si="0"/>
        <v>176.57744651347068</v>
      </c>
      <c r="R16" s="73">
        <v>6774</v>
      </c>
      <c r="S16" s="135" t="s">
        <v>44</v>
      </c>
    </row>
    <row r="17" spans="1:19" x14ac:dyDescent="0.25">
      <c r="A17" s="73">
        <v>6</v>
      </c>
      <c r="B17" s="64" t="s">
        <v>118</v>
      </c>
      <c r="C17" s="135">
        <v>1934</v>
      </c>
      <c r="D17" s="135"/>
      <c r="E17" s="135" t="s">
        <v>27</v>
      </c>
      <c r="F17" s="135">
        <v>3</v>
      </c>
      <c r="G17" s="135">
        <v>5</v>
      </c>
      <c r="H17" s="135">
        <v>2793</v>
      </c>
      <c r="I17" s="135">
        <v>2624.2</v>
      </c>
      <c r="J17" s="135">
        <v>2458.3000000000002</v>
      </c>
      <c r="K17" s="135">
        <v>101</v>
      </c>
      <c r="L17" s="66">
        <v>744461</v>
      </c>
      <c r="M17" s="136">
        <v>0</v>
      </c>
      <c r="N17" s="136">
        <v>0</v>
      </c>
      <c r="O17" s="136">
        <v>0</v>
      </c>
      <c r="P17" s="136">
        <v>744461</v>
      </c>
      <c r="Q17" s="72">
        <f t="shared" si="0"/>
        <v>283.69064857861446</v>
      </c>
      <c r="R17" s="73">
        <v>6774</v>
      </c>
      <c r="S17" s="135" t="s">
        <v>44</v>
      </c>
    </row>
    <row r="18" spans="1:19" x14ac:dyDescent="0.25">
      <c r="A18" s="73">
        <v>7</v>
      </c>
      <c r="B18" s="64" t="s">
        <v>164</v>
      </c>
      <c r="C18" s="135">
        <v>1932</v>
      </c>
      <c r="D18" s="135"/>
      <c r="E18" s="135" t="s">
        <v>27</v>
      </c>
      <c r="F18" s="135">
        <v>5</v>
      </c>
      <c r="G18" s="135">
        <v>5</v>
      </c>
      <c r="H18" s="135">
        <v>5167.6000000000004</v>
      </c>
      <c r="I18" s="135">
        <f>4174.5+450.3</f>
        <v>4624.8</v>
      </c>
      <c r="J18" s="135">
        <f>4174.5-230.1</f>
        <v>3944.4</v>
      </c>
      <c r="K18" s="135">
        <v>45</v>
      </c>
      <c r="L18" s="66">
        <v>1118494</v>
      </c>
      <c r="M18" s="136">
        <v>0</v>
      </c>
      <c r="N18" s="136">
        <v>0</v>
      </c>
      <c r="O18" s="136">
        <v>0</v>
      </c>
      <c r="P18" s="136">
        <v>1118494</v>
      </c>
      <c r="Q18" s="72">
        <f t="shared" si="0"/>
        <v>241.84699878913682</v>
      </c>
      <c r="R18" s="73">
        <v>6774</v>
      </c>
      <c r="S18" s="135" t="s">
        <v>44</v>
      </c>
    </row>
    <row r="19" spans="1:19" x14ac:dyDescent="0.25">
      <c r="A19" s="73">
        <v>8</v>
      </c>
      <c r="B19" s="64" t="s">
        <v>143</v>
      </c>
      <c r="C19" s="135">
        <v>1933</v>
      </c>
      <c r="D19" s="135"/>
      <c r="E19" s="135" t="s">
        <v>27</v>
      </c>
      <c r="F19" s="135">
        <v>4</v>
      </c>
      <c r="G19" s="135">
        <v>5</v>
      </c>
      <c r="H19" s="135">
        <v>2199.39</v>
      </c>
      <c r="I19" s="135">
        <v>1970.09</v>
      </c>
      <c r="J19" s="135">
        <f>1970.09-126.56</f>
        <v>1843.53</v>
      </c>
      <c r="K19" s="135">
        <v>88</v>
      </c>
      <c r="L19" s="66">
        <v>1760967.35</v>
      </c>
      <c r="M19" s="136">
        <v>0</v>
      </c>
      <c r="N19" s="136">
        <v>0</v>
      </c>
      <c r="O19" s="136">
        <v>0</v>
      </c>
      <c r="P19" s="136">
        <v>1760967.35</v>
      </c>
      <c r="Q19" s="72">
        <f t="shared" si="0"/>
        <v>893.85121999502564</v>
      </c>
      <c r="R19" s="73">
        <v>6774</v>
      </c>
      <c r="S19" s="135" t="s">
        <v>44</v>
      </c>
    </row>
    <row r="20" spans="1:19" x14ac:dyDescent="0.25">
      <c r="A20" s="73">
        <v>9</v>
      </c>
      <c r="B20" s="65" t="s">
        <v>107</v>
      </c>
      <c r="C20" s="135">
        <v>1937</v>
      </c>
      <c r="D20" s="135"/>
      <c r="E20" s="135" t="s">
        <v>27</v>
      </c>
      <c r="F20" s="135">
        <v>2</v>
      </c>
      <c r="G20" s="135">
        <v>1</v>
      </c>
      <c r="H20" s="135">
        <v>334.6</v>
      </c>
      <c r="I20" s="135">
        <v>293.89999999999998</v>
      </c>
      <c r="J20" s="135">
        <f>I20-84.58</f>
        <v>209.32</v>
      </c>
      <c r="K20" s="135">
        <v>11</v>
      </c>
      <c r="L20" s="66">
        <v>682623</v>
      </c>
      <c r="M20" s="136">
        <v>0</v>
      </c>
      <c r="N20" s="136">
        <v>0</v>
      </c>
      <c r="O20" s="136">
        <v>0</v>
      </c>
      <c r="P20" s="136">
        <v>682623</v>
      </c>
      <c r="Q20" s="72">
        <f t="shared" si="0"/>
        <v>2322.636951343995</v>
      </c>
      <c r="R20" s="73">
        <v>6774</v>
      </c>
      <c r="S20" s="135" t="s">
        <v>44</v>
      </c>
    </row>
    <row r="21" spans="1:19" x14ac:dyDescent="0.25">
      <c r="A21" s="73">
        <v>10</v>
      </c>
      <c r="B21" s="64" t="s">
        <v>166</v>
      </c>
      <c r="C21" s="135" t="s">
        <v>216</v>
      </c>
      <c r="D21" s="135"/>
      <c r="E21" s="135" t="s">
        <v>27</v>
      </c>
      <c r="F21" s="135">
        <v>4</v>
      </c>
      <c r="G21" s="135">
        <v>2</v>
      </c>
      <c r="H21" s="135">
        <v>1002.4</v>
      </c>
      <c r="I21" s="135">
        <v>878.31</v>
      </c>
      <c r="J21" s="135">
        <f>695.5-109.4</f>
        <v>586.1</v>
      </c>
      <c r="K21" s="135">
        <v>26</v>
      </c>
      <c r="L21" s="66">
        <v>3525616</v>
      </c>
      <c r="M21" s="136">
        <v>0</v>
      </c>
      <c r="N21" s="136">
        <v>0</v>
      </c>
      <c r="O21" s="136">
        <v>0</v>
      </c>
      <c r="P21" s="136">
        <v>3525616</v>
      </c>
      <c r="Q21" s="72">
        <f t="shared" si="0"/>
        <v>4014.0906969065595</v>
      </c>
      <c r="R21" s="73">
        <v>6774</v>
      </c>
      <c r="S21" s="135" t="s">
        <v>44</v>
      </c>
    </row>
    <row r="22" spans="1:19" x14ac:dyDescent="0.25">
      <c r="A22" s="73">
        <v>11</v>
      </c>
      <c r="B22" s="65" t="s">
        <v>212</v>
      </c>
      <c r="C22" s="135">
        <v>1928</v>
      </c>
      <c r="D22" s="135"/>
      <c r="E22" s="135" t="s">
        <v>27</v>
      </c>
      <c r="F22" s="135">
        <v>3</v>
      </c>
      <c r="G22" s="135">
        <v>6</v>
      </c>
      <c r="H22" s="135">
        <v>3387.2</v>
      </c>
      <c r="I22" s="135">
        <v>2577.6999999999998</v>
      </c>
      <c r="J22" s="135">
        <v>2346.4</v>
      </c>
      <c r="K22" s="135">
        <v>134</v>
      </c>
      <c r="L22" s="66">
        <v>2511472</v>
      </c>
      <c r="M22" s="136">
        <v>0</v>
      </c>
      <c r="N22" s="136">
        <v>0</v>
      </c>
      <c r="O22" s="136">
        <v>0</v>
      </c>
      <c r="P22" s="136">
        <v>2511472</v>
      </c>
      <c r="Q22" s="72">
        <f t="shared" si="0"/>
        <v>974.30732823835206</v>
      </c>
      <c r="R22" s="73">
        <v>6774</v>
      </c>
      <c r="S22" s="135" t="s">
        <v>44</v>
      </c>
    </row>
    <row r="23" spans="1:19" x14ac:dyDescent="0.25">
      <c r="A23" s="73">
        <v>12</v>
      </c>
      <c r="B23" s="64" t="s">
        <v>152</v>
      </c>
      <c r="C23" s="135">
        <v>1981</v>
      </c>
      <c r="D23" s="135"/>
      <c r="E23" s="135" t="s">
        <v>26</v>
      </c>
      <c r="F23" s="135">
        <v>9</v>
      </c>
      <c r="G23" s="135">
        <v>2</v>
      </c>
      <c r="H23" s="135">
        <v>4324.6000000000004</v>
      </c>
      <c r="I23" s="135">
        <v>3840.4</v>
      </c>
      <c r="J23" s="135">
        <f>3840.4-526.9</f>
        <v>3313.5</v>
      </c>
      <c r="K23" s="135">
        <v>134</v>
      </c>
      <c r="L23" s="66">
        <v>2615616.2000000002</v>
      </c>
      <c r="M23" s="136">
        <v>0</v>
      </c>
      <c r="N23" s="136">
        <v>0</v>
      </c>
      <c r="O23" s="136">
        <v>0</v>
      </c>
      <c r="P23" s="136">
        <v>2615616.2000000002</v>
      </c>
      <c r="Q23" s="72">
        <f t="shared" si="0"/>
        <v>681.07910634308928</v>
      </c>
      <c r="R23" s="73">
        <v>6774</v>
      </c>
      <c r="S23" s="135" t="s">
        <v>44</v>
      </c>
    </row>
    <row r="24" spans="1:19" x14ac:dyDescent="0.25">
      <c r="A24" s="73">
        <v>13</v>
      </c>
      <c r="B24" s="64" t="s">
        <v>203</v>
      </c>
      <c r="C24" s="135">
        <v>1960</v>
      </c>
      <c r="D24" s="135"/>
      <c r="E24" s="135" t="s">
        <v>225</v>
      </c>
      <c r="F24" s="135">
        <v>3</v>
      </c>
      <c r="G24" s="135">
        <v>2</v>
      </c>
      <c r="H24" s="135">
        <v>780.8</v>
      </c>
      <c r="I24" s="135">
        <v>756.5</v>
      </c>
      <c r="J24" s="135">
        <f>756.5-41.3</f>
        <v>715.2</v>
      </c>
      <c r="K24" s="135">
        <v>27</v>
      </c>
      <c r="L24" s="66">
        <v>206635</v>
      </c>
      <c r="M24" s="136">
        <v>0</v>
      </c>
      <c r="N24" s="136">
        <v>0</v>
      </c>
      <c r="O24" s="136">
        <v>0</v>
      </c>
      <c r="P24" s="136">
        <v>206635</v>
      </c>
      <c r="Q24" s="72">
        <f t="shared" si="0"/>
        <v>273.14606741573033</v>
      </c>
      <c r="R24" s="73">
        <v>6774</v>
      </c>
      <c r="S24" s="135" t="s">
        <v>44</v>
      </c>
    </row>
    <row r="25" spans="1:19" x14ac:dyDescent="0.25">
      <c r="A25" s="73">
        <v>14</v>
      </c>
      <c r="B25" s="64" t="s">
        <v>215</v>
      </c>
      <c r="C25" s="135" t="s">
        <v>216</v>
      </c>
      <c r="D25" s="135"/>
      <c r="E25" s="135" t="s">
        <v>27</v>
      </c>
      <c r="F25" s="135">
        <v>3</v>
      </c>
      <c r="G25" s="135">
        <v>2</v>
      </c>
      <c r="H25" s="135">
        <v>975.2</v>
      </c>
      <c r="I25" s="135">
        <v>925.6</v>
      </c>
      <c r="J25" s="135">
        <v>925.6</v>
      </c>
      <c r="K25" s="135">
        <v>21</v>
      </c>
      <c r="L25" s="66">
        <v>2540427</v>
      </c>
      <c r="M25" s="136">
        <v>0</v>
      </c>
      <c r="N25" s="136">
        <v>0</v>
      </c>
      <c r="O25" s="136">
        <v>0</v>
      </c>
      <c r="P25" s="136">
        <v>2540427</v>
      </c>
      <c r="Q25" s="72">
        <f t="shared" si="0"/>
        <v>2744.627268798617</v>
      </c>
      <c r="R25" s="73">
        <v>6774</v>
      </c>
      <c r="S25" s="135" t="s">
        <v>44</v>
      </c>
    </row>
    <row r="26" spans="1:19" x14ac:dyDescent="0.25">
      <c r="A26" s="73">
        <v>15</v>
      </c>
      <c r="B26" s="64" t="s">
        <v>186</v>
      </c>
      <c r="C26" s="135">
        <v>1965</v>
      </c>
      <c r="D26" s="135"/>
      <c r="E26" s="135" t="s">
        <v>26</v>
      </c>
      <c r="F26" s="135">
        <v>5</v>
      </c>
      <c r="G26" s="135">
        <v>5</v>
      </c>
      <c r="H26" s="135">
        <v>3724.2</v>
      </c>
      <c r="I26" s="135">
        <v>3383.6</v>
      </c>
      <c r="J26" s="135">
        <f>3383.6-209.4</f>
        <v>3174.2</v>
      </c>
      <c r="K26" s="135">
        <v>199</v>
      </c>
      <c r="L26" s="66">
        <v>906779</v>
      </c>
      <c r="M26" s="136">
        <v>0</v>
      </c>
      <c r="N26" s="136">
        <v>0</v>
      </c>
      <c r="O26" s="136">
        <v>0</v>
      </c>
      <c r="P26" s="136">
        <v>906779</v>
      </c>
      <c r="Q26" s="72">
        <f t="shared" si="0"/>
        <v>267.99237498522285</v>
      </c>
      <c r="R26" s="73">
        <v>6774</v>
      </c>
      <c r="S26" s="135" t="s">
        <v>44</v>
      </c>
    </row>
    <row r="27" spans="1:19" x14ac:dyDescent="0.25">
      <c r="A27" s="73">
        <v>16</v>
      </c>
      <c r="B27" s="65" t="s">
        <v>74</v>
      </c>
      <c r="C27" s="135">
        <v>1968</v>
      </c>
      <c r="D27" s="135"/>
      <c r="E27" s="135" t="s">
        <v>26</v>
      </c>
      <c r="F27" s="135">
        <v>5</v>
      </c>
      <c r="G27" s="135">
        <v>6</v>
      </c>
      <c r="H27" s="135">
        <v>47771</v>
      </c>
      <c r="I27" s="135">
        <v>4328.8999999999996</v>
      </c>
      <c r="J27" s="135">
        <f>I27-199.1</f>
        <v>4129.7999999999993</v>
      </c>
      <c r="K27" s="135">
        <v>208</v>
      </c>
      <c r="L27" s="66">
        <v>1161456</v>
      </c>
      <c r="M27" s="136">
        <v>0</v>
      </c>
      <c r="N27" s="136">
        <v>0</v>
      </c>
      <c r="O27" s="136">
        <v>0</v>
      </c>
      <c r="P27" s="136">
        <v>1161456</v>
      </c>
      <c r="Q27" s="72">
        <f t="shared" si="0"/>
        <v>268.30280209753056</v>
      </c>
      <c r="R27" s="73">
        <v>6774</v>
      </c>
      <c r="S27" s="135" t="s">
        <v>44</v>
      </c>
    </row>
    <row r="28" spans="1:19" x14ac:dyDescent="0.25">
      <c r="A28" s="73">
        <v>17</v>
      </c>
      <c r="B28" s="64" t="s">
        <v>76</v>
      </c>
      <c r="C28" s="135">
        <v>1970</v>
      </c>
      <c r="D28" s="135"/>
      <c r="E28" s="135" t="s">
        <v>26</v>
      </c>
      <c r="F28" s="135">
        <v>5</v>
      </c>
      <c r="G28" s="135">
        <v>4</v>
      </c>
      <c r="H28" s="135">
        <v>3016.1</v>
      </c>
      <c r="I28" s="135">
        <v>2705.5</v>
      </c>
      <c r="J28" s="135">
        <f>2705.5-105.3</f>
        <v>2600.1999999999998</v>
      </c>
      <c r="K28" s="135">
        <v>124</v>
      </c>
      <c r="L28" s="66">
        <v>673312</v>
      </c>
      <c r="M28" s="136">
        <v>0</v>
      </c>
      <c r="N28" s="136">
        <v>0</v>
      </c>
      <c r="O28" s="136">
        <v>0</v>
      </c>
      <c r="P28" s="136">
        <v>673312</v>
      </c>
      <c r="Q28" s="72">
        <f t="shared" si="0"/>
        <v>248.86786176307521</v>
      </c>
      <c r="R28" s="73">
        <v>6774</v>
      </c>
      <c r="S28" s="135" t="s">
        <v>44</v>
      </c>
    </row>
    <row r="29" spans="1:19" x14ac:dyDescent="0.25">
      <c r="A29" s="73">
        <v>18</v>
      </c>
      <c r="B29" s="64" t="s">
        <v>78</v>
      </c>
      <c r="C29" s="135">
        <v>1957</v>
      </c>
      <c r="D29" s="135"/>
      <c r="E29" s="135" t="s">
        <v>27</v>
      </c>
      <c r="F29" s="135">
        <v>4</v>
      </c>
      <c r="G29" s="135">
        <v>4</v>
      </c>
      <c r="H29" s="135">
        <v>3470.8</v>
      </c>
      <c r="I29" s="135">
        <v>3043.6</v>
      </c>
      <c r="J29" s="135">
        <v>2375.9</v>
      </c>
      <c r="K29" s="135">
        <v>116</v>
      </c>
      <c r="L29" s="66">
        <v>843246</v>
      </c>
      <c r="M29" s="136">
        <v>0</v>
      </c>
      <c r="N29" s="136">
        <v>0</v>
      </c>
      <c r="O29" s="136">
        <v>0</v>
      </c>
      <c r="P29" s="136">
        <v>843246</v>
      </c>
      <c r="Q29" s="72">
        <f t="shared" si="0"/>
        <v>277.05546063871731</v>
      </c>
      <c r="R29" s="73">
        <v>6774</v>
      </c>
      <c r="S29" s="135" t="s">
        <v>44</v>
      </c>
    </row>
    <row r="30" spans="1:19" x14ac:dyDescent="0.25">
      <c r="A30" s="73">
        <v>19</v>
      </c>
      <c r="B30" s="64" t="s">
        <v>111</v>
      </c>
      <c r="C30" s="135">
        <v>1963</v>
      </c>
      <c r="D30" s="135"/>
      <c r="E30" s="135" t="s">
        <v>27</v>
      </c>
      <c r="F30" s="135">
        <v>4</v>
      </c>
      <c r="G30" s="135">
        <v>3</v>
      </c>
      <c r="H30" s="135">
        <v>2075.4</v>
      </c>
      <c r="I30" s="135">
        <v>1972.8</v>
      </c>
      <c r="J30" s="135">
        <v>1847.1</v>
      </c>
      <c r="K30" s="135">
        <v>105</v>
      </c>
      <c r="L30" s="66">
        <v>588302</v>
      </c>
      <c r="M30" s="136">
        <v>0</v>
      </c>
      <c r="N30" s="136">
        <v>0</v>
      </c>
      <c r="O30" s="136">
        <v>0</v>
      </c>
      <c r="P30" s="136">
        <v>588302</v>
      </c>
      <c r="Q30" s="72">
        <f t="shared" si="0"/>
        <v>298.2066098945661</v>
      </c>
      <c r="R30" s="73">
        <v>6774</v>
      </c>
      <c r="S30" s="135" t="s">
        <v>44</v>
      </c>
    </row>
    <row r="31" spans="1:19" x14ac:dyDescent="0.25">
      <c r="A31" s="73">
        <v>20</v>
      </c>
      <c r="B31" s="64" t="s">
        <v>176</v>
      </c>
      <c r="C31" s="135">
        <v>1950</v>
      </c>
      <c r="D31" s="135"/>
      <c r="E31" s="135" t="s">
        <v>219</v>
      </c>
      <c r="F31" s="135">
        <v>2</v>
      </c>
      <c r="G31" s="135">
        <v>1</v>
      </c>
      <c r="H31" s="135">
        <v>428.6</v>
      </c>
      <c r="I31" s="135">
        <v>391.9</v>
      </c>
      <c r="J31" s="135">
        <v>391.9</v>
      </c>
      <c r="K31" s="135">
        <v>19</v>
      </c>
      <c r="L31" s="66">
        <v>1521754</v>
      </c>
      <c r="M31" s="136">
        <v>0</v>
      </c>
      <c r="N31" s="136">
        <v>0</v>
      </c>
      <c r="O31" s="136">
        <v>0</v>
      </c>
      <c r="P31" s="136">
        <v>1521754</v>
      </c>
      <c r="Q31" s="72">
        <f t="shared" si="0"/>
        <v>3883.0160755294719</v>
      </c>
      <c r="R31" s="73">
        <v>6774</v>
      </c>
      <c r="S31" s="135" t="s">
        <v>44</v>
      </c>
    </row>
    <row r="32" spans="1:19" x14ac:dyDescent="0.25">
      <c r="A32" s="73">
        <v>21</v>
      </c>
      <c r="B32" s="65" t="s">
        <v>101</v>
      </c>
      <c r="C32" s="135">
        <v>1959</v>
      </c>
      <c r="D32" s="135"/>
      <c r="E32" s="135" t="s">
        <v>27</v>
      </c>
      <c r="F32" s="135">
        <v>2</v>
      </c>
      <c r="G32" s="135">
        <v>2</v>
      </c>
      <c r="H32" s="135">
        <f>741.9+66.4</f>
        <v>808.3</v>
      </c>
      <c r="I32" s="135">
        <v>741.9</v>
      </c>
      <c r="J32" s="135">
        <f>I32-118.4</f>
        <v>623.5</v>
      </c>
      <c r="K32" s="135">
        <v>30</v>
      </c>
      <c r="L32" s="66">
        <v>220784</v>
      </c>
      <c r="M32" s="136">
        <v>0</v>
      </c>
      <c r="N32" s="136">
        <v>0</v>
      </c>
      <c r="O32" s="136">
        <v>0</v>
      </c>
      <c r="P32" s="136">
        <v>220784</v>
      </c>
      <c r="Q32" s="72">
        <f t="shared" si="0"/>
        <v>297.59266747540102</v>
      </c>
      <c r="R32" s="73">
        <v>6774</v>
      </c>
      <c r="S32" s="135" t="s">
        <v>44</v>
      </c>
    </row>
    <row r="33" spans="1:19" x14ac:dyDescent="0.25">
      <c r="A33" s="73">
        <v>22</v>
      </c>
      <c r="B33" s="64" t="s">
        <v>134</v>
      </c>
      <c r="C33" s="135">
        <v>1950</v>
      </c>
      <c r="D33" s="135"/>
      <c r="E33" s="135" t="s">
        <v>27</v>
      </c>
      <c r="F33" s="135">
        <v>2</v>
      </c>
      <c r="G33" s="135">
        <v>1</v>
      </c>
      <c r="H33" s="135">
        <v>242.6</v>
      </c>
      <c r="I33" s="135">
        <v>220.9</v>
      </c>
      <c r="J33" s="135">
        <v>220.9</v>
      </c>
      <c r="K33" s="135">
        <v>11</v>
      </c>
      <c r="L33" s="66">
        <v>523389</v>
      </c>
      <c r="M33" s="136">
        <v>0</v>
      </c>
      <c r="N33" s="136">
        <v>0</v>
      </c>
      <c r="O33" s="136">
        <v>0</v>
      </c>
      <c r="P33" s="136">
        <v>523389</v>
      </c>
      <c r="Q33" s="72">
        <f t="shared" si="0"/>
        <v>2369.3481213218652</v>
      </c>
      <c r="R33" s="73">
        <v>6774</v>
      </c>
      <c r="S33" s="135" t="s">
        <v>44</v>
      </c>
    </row>
    <row r="34" spans="1:19" x14ac:dyDescent="0.25">
      <c r="A34" s="73">
        <v>23</v>
      </c>
      <c r="B34" s="64" t="s">
        <v>213</v>
      </c>
      <c r="C34" s="135">
        <v>1924</v>
      </c>
      <c r="D34" s="135"/>
      <c r="E34" s="135" t="s">
        <v>224</v>
      </c>
      <c r="F34" s="135">
        <v>2</v>
      </c>
      <c r="G34" s="135">
        <v>2</v>
      </c>
      <c r="H34" s="135">
        <v>474.8</v>
      </c>
      <c r="I34" s="135">
        <v>426</v>
      </c>
      <c r="J34" s="135">
        <f>426</f>
        <v>426</v>
      </c>
      <c r="K34" s="135">
        <v>28</v>
      </c>
      <c r="L34" s="66">
        <v>807980</v>
      </c>
      <c r="M34" s="136">
        <v>0</v>
      </c>
      <c r="N34" s="136">
        <v>0</v>
      </c>
      <c r="O34" s="136">
        <v>0</v>
      </c>
      <c r="P34" s="136">
        <v>807980</v>
      </c>
      <c r="Q34" s="72">
        <f t="shared" si="0"/>
        <v>1896.6666666666667</v>
      </c>
      <c r="R34" s="73">
        <v>6774</v>
      </c>
      <c r="S34" s="135" t="s">
        <v>44</v>
      </c>
    </row>
    <row r="35" spans="1:19" x14ac:dyDescent="0.25">
      <c r="A35" s="73">
        <v>24</v>
      </c>
      <c r="B35" s="64" t="s">
        <v>119</v>
      </c>
      <c r="C35" s="135">
        <v>1956</v>
      </c>
      <c r="D35" s="135"/>
      <c r="E35" s="135" t="s">
        <v>27</v>
      </c>
      <c r="F35" s="135">
        <v>3</v>
      </c>
      <c r="G35" s="135">
        <v>3</v>
      </c>
      <c r="H35" s="135">
        <v>2113.6</v>
      </c>
      <c r="I35" s="135">
        <v>1827</v>
      </c>
      <c r="J35" s="135">
        <v>1827</v>
      </c>
      <c r="K35" s="135">
        <v>78</v>
      </c>
      <c r="L35" s="66">
        <v>1023088</v>
      </c>
      <c r="M35" s="136">
        <v>0</v>
      </c>
      <c r="N35" s="136">
        <v>0</v>
      </c>
      <c r="O35" s="136">
        <v>0</v>
      </c>
      <c r="P35" s="136">
        <v>1023088</v>
      </c>
      <c r="Q35" s="72">
        <f t="shared" si="0"/>
        <v>559.98248494800214</v>
      </c>
      <c r="R35" s="73">
        <v>6774</v>
      </c>
      <c r="S35" s="135" t="s">
        <v>44</v>
      </c>
    </row>
    <row r="36" spans="1:19" x14ac:dyDescent="0.25">
      <c r="A36" s="73">
        <v>25</v>
      </c>
      <c r="B36" s="64" t="s">
        <v>179</v>
      </c>
      <c r="C36" s="135">
        <v>1983</v>
      </c>
      <c r="D36" s="135"/>
      <c r="E36" s="135" t="s">
        <v>27</v>
      </c>
      <c r="F36" s="135">
        <v>9</v>
      </c>
      <c r="G36" s="135">
        <v>2</v>
      </c>
      <c r="H36" s="135">
        <v>4533.8999999999996</v>
      </c>
      <c r="I36" s="135">
        <v>3972.7</v>
      </c>
      <c r="J36" s="135">
        <v>3972.7</v>
      </c>
      <c r="K36" s="135">
        <v>142</v>
      </c>
      <c r="L36" s="66">
        <v>1186114</v>
      </c>
      <c r="M36" s="136">
        <v>0</v>
      </c>
      <c r="N36" s="136">
        <v>0</v>
      </c>
      <c r="O36" s="136">
        <v>0</v>
      </c>
      <c r="P36" s="136">
        <v>1186114</v>
      </c>
      <c r="Q36" s="72">
        <f t="shared" si="0"/>
        <v>298.56621441337126</v>
      </c>
      <c r="R36" s="73">
        <v>6774</v>
      </c>
      <c r="S36" s="135" t="s">
        <v>44</v>
      </c>
    </row>
    <row r="37" spans="1:19" x14ac:dyDescent="0.25">
      <c r="A37" s="73">
        <v>26</v>
      </c>
      <c r="B37" s="64" t="s">
        <v>154</v>
      </c>
      <c r="C37" s="135" t="s">
        <v>216</v>
      </c>
      <c r="D37" s="135"/>
      <c r="E37" s="135" t="s">
        <v>27</v>
      </c>
      <c r="F37" s="135">
        <v>2</v>
      </c>
      <c r="G37" s="135">
        <v>3</v>
      </c>
      <c r="H37" s="135">
        <v>967.5</v>
      </c>
      <c r="I37" s="135">
        <v>833</v>
      </c>
      <c r="J37" s="135">
        <f>833-567.1</f>
        <v>265.89999999999998</v>
      </c>
      <c r="K37" s="135">
        <v>31</v>
      </c>
      <c r="L37" s="66">
        <v>951740</v>
      </c>
      <c r="M37" s="136">
        <v>0</v>
      </c>
      <c r="N37" s="136">
        <v>0</v>
      </c>
      <c r="O37" s="136">
        <v>0</v>
      </c>
      <c r="P37" s="136">
        <v>951740</v>
      </c>
      <c r="Q37" s="72">
        <f t="shared" si="0"/>
        <v>1142.5450180072028</v>
      </c>
      <c r="R37" s="73">
        <v>6774</v>
      </c>
      <c r="S37" s="135" t="s">
        <v>44</v>
      </c>
    </row>
    <row r="38" spans="1:19" x14ac:dyDescent="0.25">
      <c r="A38" s="73">
        <v>27</v>
      </c>
      <c r="B38" s="65" t="s">
        <v>256</v>
      </c>
      <c r="C38" s="135">
        <v>1972</v>
      </c>
      <c r="D38" s="135"/>
      <c r="E38" s="135" t="s">
        <v>26</v>
      </c>
      <c r="F38" s="135">
        <v>9</v>
      </c>
      <c r="G38" s="135">
        <v>1</v>
      </c>
      <c r="H38" s="135">
        <v>9107.7000000000007</v>
      </c>
      <c r="I38" s="135">
        <v>8850.82</v>
      </c>
      <c r="J38" s="135">
        <f>8059.62</f>
        <v>8059.62</v>
      </c>
      <c r="K38" s="135">
        <v>536</v>
      </c>
      <c r="L38" s="66">
        <v>1894719</v>
      </c>
      <c r="M38" s="136">
        <v>0</v>
      </c>
      <c r="N38" s="136">
        <v>0</v>
      </c>
      <c r="O38" s="136">
        <v>0</v>
      </c>
      <c r="P38" s="136">
        <v>1894719</v>
      </c>
      <c r="Q38" s="72">
        <f t="shared" si="0"/>
        <v>214.07270738756409</v>
      </c>
      <c r="R38" s="73">
        <v>6774</v>
      </c>
      <c r="S38" s="135" t="s">
        <v>44</v>
      </c>
    </row>
    <row r="39" spans="1:19" x14ac:dyDescent="0.25">
      <c r="A39" s="73">
        <v>28</v>
      </c>
      <c r="B39" s="64" t="s">
        <v>160</v>
      </c>
      <c r="C39" s="135">
        <v>1955</v>
      </c>
      <c r="D39" s="135"/>
      <c r="E39" s="135" t="s">
        <v>27</v>
      </c>
      <c r="F39" s="135">
        <v>2</v>
      </c>
      <c r="G39" s="135">
        <v>2</v>
      </c>
      <c r="H39" s="135">
        <v>743.3</v>
      </c>
      <c r="I39" s="135">
        <v>654.79999999999995</v>
      </c>
      <c r="J39" s="135">
        <f>585.8-80.7</f>
        <v>505.09999999999997</v>
      </c>
      <c r="K39" s="135">
        <v>29</v>
      </c>
      <c r="L39" s="66">
        <v>637739</v>
      </c>
      <c r="M39" s="136">
        <v>0</v>
      </c>
      <c r="N39" s="136">
        <v>0</v>
      </c>
      <c r="O39" s="136">
        <v>0</v>
      </c>
      <c r="P39" s="136">
        <v>637739</v>
      </c>
      <c r="Q39" s="72">
        <f t="shared" si="0"/>
        <v>973.94471594379968</v>
      </c>
      <c r="R39" s="73">
        <v>6774</v>
      </c>
      <c r="S39" s="135" t="s">
        <v>44</v>
      </c>
    </row>
    <row r="40" spans="1:19" x14ac:dyDescent="0.25">
      <c r="A40" s="73">
        <v>29</v>
      </c>
      <c r="B40" s="64" t="s">
        <v>109</v>
      </c>
      <c r="C40" s="135">
        <v>1958</v>
      </c>
      <c r="D40" s="135"/>
      <c r="E40" s="135" t="s">
        <v>27</v>
      </c>
      <c r="F40" s="135">
        <v>2</v>
      </c>
      <c r="G40" s="135">
        <v>1</v>
      </c>
      <c r="H40" s="135">
        <v>454.6</v>
      </c>
      <c r="I40" s="135">
        <v>415.4</v>
      </c>
      <c r="J40" s="135">
        <f>415.4-49.1</f>
        <v>366.29999999999995</v>
      </c>
      <c r="K40" s="135">
        <v>17</v>
      </c>
      <c r="L40" s="66">
        <v>359651</v>
      </c>
      <c r="M40" s="136">
        <v>0</v>
      </c>
      <c r="N40" s="136">
        <v>0</v>
      </c>
      <c r="O40" s="136">
        <v>0</v>
      </c>
      <c r="P40" s="136">
        <v>359651</v>
      </c>
      <c r="Q40" s="72">
        <f t="shared" si="0"/>
        <v>865.79441502166594</v>
      </c>
      <c r="R40" s="73">
        <v>6774</v>
      </c>
      <c r="S40" s="135" t="s">
        <v>44</v>
      </c>
    </row>
    <row r="41" spans="1:19" x14ac:dyDescent="0.25">
      <c r="A41" s="73">
        <v>30</v>
      </c>
      <c r="B41" s="64" t="s">
        <v>75</v>
      </c>
      <c r="C41" s="135">
        <v>1959</v>
      </c>
      <c r="D41" s="135"/>
      <c r="E41" s="135" t="s">
        <v>27</v>
      </c>
      <c r="F41" s="135">
        <v>4</v>
      </c>
      <c r="G41" s="135">
        <v>6</v>
      </c>
      <c r="H41" s="135">
        <v>4138.3</v>
      </c>
      <c r="I41" s="135">
        <v>3789.6</v>
      </c>
      <c r="J41" s="135">
        <f>3629.6-14.3</f>
        <v>3615.2999999999997</v>
      </c>
      <c r="K41" s="135">
        <v>183</v>
      </c>
      <c r="L41" s="66">
        <v>1385674</v>
      </c>
      <c r="M41" s="136">
        <v>0</v>
      </c>
      <c r="N41" s="136">
        <v>0</v>
      </c>
      <c r="O41" s="136">
        <v>0</v>
      </c>
      <c r="P41" s="136">
        <v>1385674</v>
      </c>
      <c r="Q41" s="72">
        <f t="shared" si="0"/>
        <v>365.65178382942793</v>
      </c>
      <c r="R41" s="73">
        <v>6774</v>
      </c>
      <c r="S41" s="135" t="s">
        <v>44</v>
      </c>
    </row>
    <row r="42" spans="1:19" x14ac:dyDescent="0.25">
      <c r="A42" s="73">
        <v>31</v>
      </c>
      <c r="B42" s="65" t="s">
        <v>102</v>
      </c>
      <c r="C42" s="135">
        <v>1961</v>
      </c>
      <c r="D42" s="135"/>
      <c r="E42" s="135" t="s">
        <v>27</v>
      </c>
      <c r="F42" s="135">
        <v>3</v>
      </c>
      <c r="G42" s="135">
        <v>2</v>
      </c>
      <c r="H42" s="135">
        <f>755.7+73.8</f>
        <v>829.5</v>
      </c>
      <c r="I42" s="135">
        <v>755.7</v>
      </c>
      <c r="J42" s="135">
        <f>755.7-53.7</f>
        <v>702</v>
      </c>
      <c r="K42" s="135">
        <v>39</v>
      </c>
      <c r="L42" s="66">
        <v>482251.51</v>
      </c>
      <c r="M42" s="136">
        <v>0</v>
      </c>
      <c r="N42" s="136">
        <v>0</v>
      </c>
      <c r="O42" s="136">
        <v>0</v>
      </c>
      <c r="P42" s="136">
        <v>482251.51</v>
      </c>
      <c r="Q42" s="72">
        <f t="shared" si="0"/>
        <v>638.15205769485237</v>
      </c>
      <c r="R42" s="73">
        <v>6774</v>
      </c>
      <c r="S42" s="135" t="s">
        <v>44</v>
      </c>
    </row>
    <row r="43" spans="1:19" x14ac:dyDescent="0.25">
      <c r="A43" s="73">
        <v>32</v>
      </c>
      <c r="B43" s="65" t="s">
        <v>211</v>
      </c>
      <c r="C43" s="135">
        <v>1976</v>
      </c>
      <c r="D43" s="135"/>
      <c r="E43" s="135" t="s">
        <v>26</v>
      </c>
      <c r="F43" s="135">
        <v>9</v>
      </c>
      <c r="G43" s="135">
        <v>2</v>
      </c>
      <c r="H43" s="135">
        <v>4404.1000000000004</v>
      </c>
      <c r="I43" s="135">
        <v>3885.3</v>
      </c>
      <c r="J43" s="135">
        <f>3885.3-145.2</f>
        <v>3740.1000000000004</v>
      </c>
      <c r="K43" s="135">
        <v>190</v>
      </c>
      <c r="L43" s="66">
        <v>1357217</v>
      </c>
      <c r="M43" s="136">
        <v>0</v>
      </c>
      <c r="N43" s="136">
        <v>0</v>
      </c>
      <c r="O43" s="136">
        <v>0</v>
      </c>
      <c r="P43" s="136">
        <v>1357217</v>
      </c>
      <c r="Q43" s="72">
        <f t="shared" si="0"/>
        <v>349.32103055105136</v>
      </c>
      <c r="R43" s="73">
        <v>6774</v>
      </c>
      <c r="S43" s="135" t="s">
        <v>44</v>
      </c>
    </row>
    <row r="44" spans="1:19" x14ac:dyDescent="0.25">
      <c r="A44" s="73">
        <v>33</v>
      </c>
      <c r="B44" s="65" t="s">
        <v>95</v>
      </c>
      <c r="C44" s="135">
        <v>1976</v>
      </c>
      <c r="D44" s="135"/>
      <c r="E44" s="135" t="s">
        <v>26</v>
      </c>
      <c r="F44" s="135">
        <v>9</v>
      </c>
      <c r="G44" s="135">
        <v>4</v>
      </c>
      <c r="H44" s="135">
        <v>8771.4</v>
      </c>
      <c r="I44" s="135">
        <v>7752.5</v>
      </c>
      <c r="J44" s="135">
        <f>I44-47.6</f>
        <v>7704.9</v>
      </c>
      <c r="K44" s="135">
        <v>377</v>
      </c>
      <c r="L44" s="66">
        <v>2721106</v>
      </c>
      <c r="M44" s="136">
        <v>0</v>
      </c>
      <c r="N44" s="136">
        <v>0</v>
      </c>
      <c r="O44" s="136">
        <v>0</v>
      </c>
      <c r="P44" s="136">
        <v>2721106</v>
      </c>
      <c r="Q44" s="72">
        <f t="shared" ref="Q44:Q75" si="1">L44/I44</f>
        <v>350.99722670106416</v>
      </c>
      <c r="R44" s="73">
        <v>6774</v>
      </c>
      <c r="S44" s="135" t="s">
        <v>44</v>
      </c>
    </row>
    <row r="45" spans="1:19" x14ac:dyDescent="0.25">
      <c r="A45" s="73">
        <v>34</v>
      </c>
      <c r="B45" s="64" t="s">
        <v>139</v>
      </c>
      <c r="C45" s="135">
        <v>1949</v>
      </c>
      <c r="D45" s="135"/>
      <c r="E45" s="135" t="s">
        <v>217</v>
      </c>
      <c r="F45" s="135">
        <v>2</v>
      </c>
      <c r="G45" s="135">
        <v>1</v>
      </c>
      <c r="H45" s="135">
        <v>390.4</v>
      </c>
      <c r="I45" s="135">
        <v>359.8</v>
      </c>
      <c r="J45" s="135">
        <v>359.8</v>
      </c>
      <c r="K45" s="135">
        <v>34</v>
      </c>
      <c r="L45" s="66">
        <v>1566345</v>
      </c>
      <c r="M45" s="136">
        <v>0</v>
      </c>
      <c r="N45" s="136">
        <v>0</v>
      </c>
      <c r="O45" s="136">
        <v>0</v>
      </c>
      <c r="P45" s="136">
        <v>1566345</v>
      </c>
      <c r="Q45" s="72">
        <f t="shared" si="1"/>
        <v>4353.3768760422454</v>
      </c>
      <c r="R45" s="73">
        <v>6774</v>
      </c>
      <c r="S45" s="135" t="s">
        <v>44</v>
      </c>
    </row>
    <row r="46" spans="1:19" x14ac:dyDescent="0.25">
      <c r="A46" s="73">
        <v>35</v>
      </c>
      <c r="B46" s="65" t="s">
        <v>85</v>
      </c>
      <c r="C46" s="135">
        <v>1979</v>
      </c>
      <c r="D46" s="135"/>
      <c r="E46" s="135" t="s">
        <v>27</v>
      </c>
      <c r="F46" s="135">
        <v>9</v>
      </c>
      <c r="G46" s="135">
        <v>1</v>
      </c>
      <c r="H46" s="135">
        <v>3730.3</v>
      </c>
      <c r="I46" s="135">
        <v>3232.9</v>
      </c>
      <c r="J46" s="135">
        <f>3232.9-104.2</f>
        <v>3128.7000000000003</v>
      </c>
      <c r="K46" s="135">
        <v>131</v>
      </c>
      <c r="L46" s="66">
        <v>1253738</v>
      </c>
      <c r="M46" s="136">
        <v>0</v>
      </c>
      <c r="N46" s="136">
        <v>0</v>
      </c>
      <c r="O46" s="136">
        <v>0</v>
      </c>
      <c r="P46" s="136">
        <v>1253738</v>
      </c>
      <c r="Q46" s="72">
        <f t="shared" si="1"/>
        <v>387.80599461783538</v>
      </c>
      <c r="R46" s="73">
        <v>6774</v>
      </c>
      <c r="S46" s="135" t="s">
        <v>44</v>
      </c>
    </row>
    <row r="47" spans="1:19" x14ac:dyDescent="0.25">
      <c r="A47" s="73">
        <v>36</v>
      </c>
      <c r="B47" s="65" t="s">
        <v>61</v>
      </c>
      <c r="C47" s="135">
        <v>1953</v>
      </c>
      <c r="D47" s="135"/>
      <c r="E47" s="135" t="s">
        <v>27</v>
      </c>
      <c r="F47" s="135">
        <v>3</v>
      </c>
      <c r="G47" s="135">
        <v>3</v>
      </c>
      <c r="H47" s="135">
        <v>2198.6</v>
      </c>
      <c r="I47" s="135">
        <v>1824.9</v>
      </c>
      <c r="J47" s="135">
        <v>1824.9</v>
      </c>
      <c r="K47" s="135">
        <v>56</v>
      </c>
      <c r="L47" s="66">
        <v>2056139</v>
      </c>
      <c r="M47" s="136">
        <v>0</v>
      </c>
      <c r="N47" s="136">
        <v>0</v>
      </c>
      <c r="O47" s="136">
        <v>0</v>
      </c>
      <c r="P47" s="136">
        <v>2056139</v>
      </c>
      <c r="Q47" s="72">
        <f t="shared" si="1"/>
        <v>1126.7132445613458</v>
      </c>
      <c r="R47" s="73">
        <v>6774</v>
      </c>
      <c r="S47" s="135" t="s">
        <v>44</v>
      </c>
    </row>
    <row r="48" spans="1:19" x14ac:dyDescent="0.25">
      <c r="A48" s="73">
        <v>37</v>
      </c>
      <c r="B48" s="65" t="s">
        <v>90</v>
      </c>
      <c r="C48" s="135">
        <v>1983</v>
      </c>
      <c r="D48" s="135"/>
      <c r="E48" s="135" t="s">
        <v>26</v>
      </c>
      <c r="F48" s="135">
        <v>9</v>
      </c>
      <c r="G48" s="135">
        <v>1</v>
      </c>
      <c r="H48" s="135">
        <v>4115.3999999999996</v>
      </c>
      <c r="I48" s="135">
        <v>3890.8</v>
      </c>
      <c r="J48" s="135">
        <v>3890.8</v>
      </c>
      <c r="K48" s="135">
        <v>173</v>
      </c>
      <c r="L48" s="66">
        <v>1114586</v>
      </c>
      <c r="M48" s="136">
        <v>0</v>
      </c>
      <c r="N48" s="136">
        <v>0</v>
      </c>
      <c r="O48" s="136">
        <v>0</v>
      </c>
      <c r="P48" s="136">
        <v>1114586</v>
      </c>
      <c r="Q48" s="72">
        <f t="shared" si="1"/>
        <v>286.46705047805079</v>
      </c>
      <c r="R48" s="73">
        <v>6774</v>
      </c>
      <c r="S48" s="135" t="s">
        <v>44</v>
      </c>
    </row>
    <row r="49" spans="1:19" x14ac:dyDescent="0.25">
      <c r="A49" s="73">
        <v>38</v>
      </c>
      <c r="B49" s="64" t="s">
        <v>257</v>
      </c>
      <c r="C49" s="135">
        <v>1948</v>
      </c>
      <c r="D49" s="135"/>
      <c r="E49" s="135" t="s">
        <v>220</v>
      </c>
      <c r="F49" s="135">
        <v>2</v>
      </c>
      <c r="G49" s="135">
        <v>2</v>
      </c>
      <c r="H49" s="135">
        <v>758.1</v>
      </c>
      <c r="I49" s="135">
        <v>689.8</v>
      </c>
      <c r="J49" s="135">
        <f>689.8-83.7</f>
        <v>606.09999999999991</v>
      </c>
      <c r="K49" s="135">
        <v>34</v>
      </c>
      <c r="L49" s="66">
        <v>1221424.83</v>
      </c>
      <c r="M49" s="136">
        <v>0</v>
      </c>
      <c r="N49" s="136">
        <v>0</v>
      </c>
      <c r="O49" s="136">
        <v>0</v>
      </c>
      <c r="P49" s="136">
        <v>1221424.83</v>
      </c>
      <c r="Q49" s="72">
        <f t="shared" si="1"/>
        <v>1770.6941577268776</v>
      </c>
      <c r="R49" s="73">
        <v>6774</v>
      </c>
      <c r="S49" s="135" t="s">
        <v>44</v>
      </c>
    </row>
    <row r="50" spans="1:19" x14ac:dyDescent="0.25">
      <c r="A50" s="73">
        <v>39</v>
      </c>
      <c r="B50" s="64" t="s">
        <v>192</v>
      </c>
      <c r="C50" s="135">
        <v>1937</v>
      </c>
      <c r="D50" s="135"/>
      <c r="E50" s="135" t="s">
        <v>27</v>
      </c>
      <c r="F50" s="135">
        <v>4</v>
      </c>
      <c r="G50" s="135">
        <v>9</v>
      </c>
      <c r="H50" s="135">
        <v>6091.4</v>
      </c>
      <c r="I50" s="135">
        <v>5348.4</v>
      </c>
      <c r="J50" s="135">
        <f>3926.4-62.1</f>
        <v>3864.3</v>
      </c>
      <c r="K50" s="135">
        <v>114</v>
      </c>
      <c r="L50" s="66">
        <v>4619990</v>
      </c>
      <c r="M50" s="136">
        <v>0</v>
      </c>
      <c r="N50" s="136">
        <v>0</v>
      </c>
      <c r="O50" s="136">
        <v>0</v>
      </c>
      <c r="P50" s="136">
        <v>4619990</v>
      </c>
      <c r="Q50" s="72">
        <f t="shared" si="1"/>
        <v>863.80786777353978</v>
      </c>
      <c r="R50" s="73">
        <v>6774</v>
      </c>
      <c r="S50" s="135" t="s">
        <v>44</v>
      </c>
    </row>
    <row r="51" spans="1:19" x14ac:dyDescent="0.25">
      <c r="A51" s="73">
        <v>40</v>
      </c>
      <c r="B51" s="64" t="s">
        <v>112</v>
      </c>
      <c r="C51" s="135">
        <v>1966</v>
      </c>
      <c r="D51" s="135"/>
      <c r="E51" s="135" t="s">
        <v>26</v>
      </c>
      <c r="F51" s="135">
        <v>5</v>
      </c>
      <c r="G51" s="135">
        <v>4</v>
      </c>
      <c r="H51" s="135">
        <v>3749.3</v>
      </c>
      <c r="I51" s="135">
        <v>3475</v>
      </c>
      <c r="J51" s="135">
        <f>3475-144.5</f>
        <v>3330.5</v>
      </c>
      <c r="K51" s="135">
        <v>171</v>
      </c>
      <c r="L51" s="66">
        <v>1014201</v>
      </c>
      <c r="M51" s="136">
        <v>0</v>
      </c>
      <c r="N51" s="136">
        <v>0</v>
      </c>
      <c r="O51" s="136">
        <v>0</v>
      </c>
      <c r="P51" s="136">
        <v>1014201</v>
      </c>
      <c r="Q51" s="72">
        <f t="shared" si="1"/>
        <v>291.85640287769786</v>
      </c>
      <c r="R51" s="73">
        <v>6774</v>
      </c>
      <c r="S51" s="135" t="s">
        <v>44</v>
      </c>
    </row>
    <row r="52" spans="1:19" x14ac:dyDescent="0.25">
      <c r="A52" s="73">
        <v>41</v>
      </c>
      <c r="B52" s="64" t="s">
        <v>159</v>
      </c>
      <c r="C52" s="135" t="s">
        <v>216</v>
      </c>
      <c r="D52" s="135"/>
      <c r="E52" s="135" t="s">
        <v>27</v>
      </c>
      <c r="F52" s="135">
        <v>3</v>
      </c>
      <c r="G52" s="135">
        <v>3</v>
      </c>
      <c r="H52" s="135">
        <v>1027.3</v>
      </c>
      <c r="I52" s="135">
        <v>884.7</v>
      </c>
      <c r="J52" s="135">
        <f>884.7-60.6</f>
        <v>824.1</v>
      </c>
      <c r="K52" s="135">
        <v>46</v>
      </c>
      <c r="L52" s="66">
        <v>1862538</v>
      </c>
      <c r="M52" s="136">
        <v>0</v>
      </c>
      <c r="N52" s="136">
        <v>0</v>
      </c>
      <c r="O52" s="136">
        <v>0</v>
      </c>
      <c r="P52" s="136">
        <v>1862538</v>
      </c>
      <c r="Q52" s="72">
        <f t="shared" si="1"/>
        <v>2105.2763648694472</v>
      </c>
      <c r="R52" s="73">
        <v>6774</v>
      </c>
      <c r="S52" s="135" t="s">
        <v>44</v>
      </c>
    </row>
    <row r="53" spans="1:19" x14ac:dyDescent="0.25">
      <c r="A53" s="73">
        <v>42</v>
      </c>
      <c r="B53" s="64" t="s">
        <v>124</v>
      </c>
      <c r="C53" s="135">
        <v>1948</v>
      </c>
      <c r="D53" s="135"/>
      <c r="E53" s="135" t="s">
        <v>27</v>
      </c>
      <c r="F53" s="135">
        <v>2</v>
      </c>
      <c r="G53" s="135">
        <v>3</v>
      </c>
      <c r="H53" s="135">
        <v>1329.8</v>
      </c>
      <c r="I53" s="135">
        <v>1212.2</v>
      </c>
      <c r="J53" s="135">
        <f>1212.2-124.59</f>
        <v>1087.6100000000001</v>
      </c>
      <c r="K53" s="135">
        <v>56</v>
      </c>
      <c r="L53" s="66">
        <v>2124581</v>
      </c>
      <c r="M53" s="136">
        <v>0</v>
      </c>
      <c r="N53" s="136">
        <v>0</v>
      </c>
      <c r="O53" s="136">
        <v>0</v>
      </c>
      <c r="P53" s="136">
        <v>2124581</v>
      </c>
      <c r="Q53" s="72">
        <f t="shared" si="1"/>
        <v>1752.6654017488863</v>
      </c>
      <c r="R53" s="73">
        <v>6774</v>
      </c>
      <c r="S53" s="135" t="s">
        <v>44</v>
      </c>
    </row>
    <row r="54" spans="1:19" x14ac:dyDescent="0.25">
      <c r="A54" s="73">
        <v>43</v>
      </c>
      <c r="B54" s="64" t="s">
        <v>58</v>
      </c>
      <c r="C54" s="135">
        <v>1977</v>
      </c>
      <c r="D54" s="135"/>
      <c r="E54" s="135" t="s">
        <v>27</v>
      </c>
      <c r="F54" s="135">
        <v>5</v>
      </c>
      <c r="G54" s="135">
        <v>6</v>
      </c>
      <c r="H54" s="135">
        <v>4612</v>
      </c>
      <c r="I54" s="135">
        <v>4552.5</v>
      </c>
      <c r="J54" s="135">
        <f>4461.8-285.7</f>
        <v>4176.1000000000004</v>
      </c>
      <c r="K54" s="135">
        <v>191</v>
      </c>
      <c r="L54" s="66">
        <v>3687908</v>
      </c>
      <c r="M54" s="136">
        <v>0</v>
      </c>
      <c r="N54" s="136">
        <v>0</v>
      </c>
      <c r="O54" s="136">
        <v>0</v>
      </c>
      <c r="P54" s="136">
        <v>3687908</v>
      </c>
      <c r="Q54" s="72">
        <f t="shared" si="1"/>
        <v>810.08412959912141</v>
      </c>
      <c r="R54" s="73">
        <v>6774</v>
      </c>
      <c r="S54" s="135" t="s">
        <v>44</v>
      </c>
    </row>
    <row r="55" spans="1:19" x14ac:dyDescent="0.25">
      <c r="A55" s="73">
        <v>44</v>
      </c>
      <c r="B55" s="65" t="s">
        <v>91</v>
      </c>
      <c r="C55" s="135">
        <v>1963</v>
      </c>
      <c r="D55" s="135"/>
      <c r="E55" s="135" t="s">
        <v>26</v>
      </c>
      <c r="F55" s="135">
        <v>5</v>
      </c>
      <c r="G55" s="135">
        <v>4</v>
      </c>
      <c r="H55" s="135">
        <v>3855.3</v>
      </c>
      <c r="I55" s="135">
        <v>3580.6</v>
      </c>
      <c r="J55" s="135">
        <f>3580.6-303.4</f>
        <v>3277.2</v>
      </c>
      <c r="K55" s="135">
        <v>139</v>
      </c>
      <c r="L55" s="66">
        <v>1681645</v>
      </c>
      <c r="M55" s="136">
        <v>0</v>
      </c>
      <c r="N55" s="136">
        <v>0</v>
      </c>
      <c r="O55" s="136">
        <v>0</v>
      </c>
      <c r="P55" s="136">
        <v>1681645</v>
      </c>
      <c r="Q55" s="72">
        <f t="shared" si="1"/>
        <v>469.65452717421664</v>
      </c>
      <c r="R55" s="73">
        <v>6774</v>
      </c>
      <c r="S55" s="135" t="s">
        <v>44</v>
      </c>
    </row>
    <row r="56" spans="1:19" x14ac:dyDescent="0.25">
      <c r="A56" s="73">
        <v>45</v>
      </c>
      <c r="B56" s="64" t="s">
        <v>77</v>
      </c>
      <c r="C56" s="135">
        <v>1972</v>
      </c>
      <c r="D56" s="135"/>
      <c r="E56" s="135" t="s">
        <v>26</v>
      </c>
      <c r="F56" s="135">
        <v>5</v>
      </c>
      <c r="G56" s="135">
        <v>4</v>
      </c>
      <c r="H56" s="135">
        <v>2953.6</v>
      </c>
      <c r="I56" s="135">
        <v>2680.8</v>
      </c>
      <c r="J56" s="135">
        <v>2321.5</v>
      </c>
      <c r="K56" s="135">
        <v>141</v>
      </c>
      <c r="L56" s="66">
        <v>1023289</v>
      </c>
      <c r="M56" s="136">
        <v>0</v>
      </c>
      <c r="N56" s="136">
        <v>0</v>
      </c>
      <c r="O56" s="136">
        <v>0</v>
      </c>
      <c r="P56" s="136">
        <v>1023289</v>
      </c>
      <c r="Q56" s="72">
        <f t="shared" si="1"/>
        <v>381.71031035511783</v>
      </c>
      <c r="R56" s="73">
        <v>6774</v>
      </c>
      <c r="S56" s="135" t="s">
        <v>44</v>
      </c>
    </row>
    <row r="57" spans="1:19" x14ac:dyDescent="0.25">
      <c r="A57" s="73">
        <v>46</v>
      </c>
      <c r="B57" s="64" t="s">
        <v>141</v>
      </c>
      <c r="C57" s="135">
        <v>1986</v>
      </c>
      <c r="D57" s="135"/>
      <c r="E57" s="135" t="s">
        <v>27</v>
      </c>
      <c r="F57" s="135">
        <v>9</v>
      </c>
      <c r="G57" s="135">
        <v>1</v>
      </c>
      <c r="H57" s="135">
        <v>3416.4</v>
      </c>
      <c r="I57" s="135">
        <v>3191.6</v>
      </c>
      <c r="J57" s="135">
        <f>3191.6-125.5</f>
        <v>3066.1</v>
      </c>
      <c r="K57" s="135">
        <v>167</v>
      </c>
      <c r="L57" s="66">
        <v>1104857</v>
      </c>
      <c r="M57" s="136">
        <v>0</v>
      </c>
      <c r="N57" s="136">
        <v>0</v>
      </c>
      <c r="O57" s="136">
        <v>0</v>
      </c>
      <c r="P57" s="136">
        <v>1104857</v>
      </c>
      <c r="Q57" s="72">
        <f t="shared" si="1"/>
        <v>346.17652588043615</v>
      </c>
      <c r="R57" s="73">
        <v>6774</v>
      </c>
      <c r="S57" s="135" t="s">
        <v>44</v>
      </c>
    </row>
    <row r="58" spans="1:19" x14ac:dyDescent="0.25">
      <c r="A58" s="73">
        <v>47</v>
      </c>
      <c r="B58" s="64" t="s">
        <v>210</v>
      </c>
      <c r="C58" s="135">
        <v>1959</v>
      </c>
      <c r="D58" s="135"/>
      <c r="E58" s="135" t="s">
        <v>27</v>
      </c>
      <c r="F58" s="135">
        <v>2</v>
      </c>
      <c r="G58" s="135">
        <v>1</v>
      </c>
      <c r="H58" s="135">
        <v>499</v>
      </c>
      <c r="I58" s="135">
        <v>457.6</v>
      </c>
      <c r="J58" s="135">
        <f>457.6-53.3</f>
        <v>404.3</v>
      </c>
      <c r="K58" s="135">
        <v>21</v>
      </c>
      <c r="L58" s="66">
        <v>709022</v>
      </c>
      <c r="M58" s="136">
        <v>0</v>
      </c>
      <c r="N58" s="136">
        <v>0</v>
      </c>
      <c r="O58" s="136">
        <v>0</v>
      </c>
      <c r="P58" s="136">
        <v>709022</v>
      </c>
      <c r="Q58" s="72">
        <f t="shared" si="1"/>
        <v>1549.4361888111887</v>
      </c>
      <c r="R58" s="73">
        <v>6774</v>
      </c>
      <c r="S58" s="135" t="s">
        <v>44</v>
      </c>
    </row>
    <row r="59" spans="1:19" x14ac:dyDescent="0.25">
      <c r="A59" s="73">
        <v>48</v>
      </c>
      <c r="B59" s="65" t="s">
        <v>205</v>
      </c>
      <c r="C59" s="135">
        <v>1962</v>
      </c>
      <c r="D59" s="135"/>
      <c r="E59" s="135" t="s">
        <v>27</v>
      </c>
      <c r="F59" s="135">
        <v>3</v>
      </c>
      <c r="G59" s="135">
        <v>3</v>
      </c>
      <c r="H59" s="135">
        <v>1626.5</v>
      </c>
      <c r="I59" s="135">
        <v>1516.6</v>
      </c>
      <c r="J59" s="135">
        <f>1399.2-117.4</f>
        <v>1281.8</v>
      </c>
      <c r="K59" s="135">
        <v>70</v>
      </c>
      <c r="L59" s="66">
        <v>1432926</v>
      </c>
      <c r="M59" s="136">
        <v>0</v>
      </c>
      <c r="N59" s="136">
        <v>0</v>
      </c>
      <c r="O59" s="136">
        <v>0</v>
      </c>
      <c r="P59" s="136">
        <v>1432926</v>
      </c>
      <c r="Q59" s="72">
        <f t="shared" si="1"/>
        <v>944.82790452327583</v>
      </c>
      <c r="R59" s="73">
        <v>6774</v>
      </c>
      <c r="S59" s="135" t="s">
        <v>44</v>
      </c>
    </row>
    <row r="60" spans="1:19" x14ac:dyDescent="0.25">
      <c r="A60" s="73">
        <v>49</v>
      </c>
      <c r="B60" s="64" t="s">
        <v>137</v>
      </c>
      <c r="C60" s="135">
        <v>1950</v>
      </c>
      <c r="D60" s="135"/>
      <c r="E60" s="135" t="s">
        <v>27</v>
      </c>
      <c r="F60" s="135">
        <v>2</v>
      </c>
      <c r="G60" s="135">
        <v>2</v>
      </c>
      <c r="H60" s="135">
        <v>803.9</v>
      </c>
      <c r="I60" s="135">
        <v>728.7</v>
      </c>
      <c r="J60" s="135">
        <f>I60-14.4</f>
        <v>714.30000000000007</v>
      </c>
      <c r="K60" s="135">
        <v>35</v>
      </c>
      <c r="L60" s="66">
        <v>1318880</v>
      </c>
      <c r="M60" s="136">
        <v>0</v>
      </c>
      <c r="N60" s="136">
        <v>0</v>
      </c>
      <c r="O60" s="136">
        <v>0</v>
      </c>
      <c r="P60" s="136">
        <v>1318880</v>
      </c>
      <c r="Q60" s="72">
        <f t="shared" si="1"/>
        <v>1809.9080554411964</v>
      </c>
      <c r="R60" s="73">
        <v>6774</v>
      </c>
      <c r="S60" s="135" t="s">
        <v>44</v>
      </c>
    </row>
    <row r="61" spans="1:19" x14ac:dyDescent="0.25">
      <c r="A61" s="73">
        <v>50</v>
      </c>
      <c r="B61" s="64" t="s">
        <v>204</v>
      </c>
      <c r="C61" s="135">
        <v>1960</v>
      </c>
      <c r="D61" s="135"/>
      <c r="E61" s="135" t="s">
        <v>27</v>
      </c>
      <c r="F61" s="135">
        <v>5</v>
      </c>
      <c r="G61" s="135">
        <v>4</v>
      </c>
      <c r="H61" s="135">
        <v>3809</v>
      </c>
      <c r="I61" s="135">
        <v>3495.51</v>
      </c>
      <c r="J61" s="135">
        <f>2735.51</f>
        <v>2735.51</v>
      </c>
      <c r="K61" s="135">
        <v>93</v>
      </c>
      <c r="L61" s="66">
        <v>1032539</v>
      </c>
      <c r="M61" s="136">
        <v>0</v>
      </c>
      <c r="N61" s="136">
        <v>0</v>
      </c>
      <c r="O61" s="136">
        <v>0</v>
      </c>
      <c r="P61" s="136">
        <v>1032539</v>
      </c>
      <c r="Q61" s="72">
        <f t="shared" si="1"/>
        <v>295.39008613907555</v>
      </c>
      <c r="R61" s="73">
        <v>6774</v>
      </c>
      <c r="S61" s="135" t="s">
        <v>44</v>
      </c>
    </row>
    <row r="62" spans="1:19" x14ac:dyDescent="0.25">
      <c r="A62" s="73">
        <v>51</v>
      </c>
      <c r="B62" s="64" t="s">
        <v>136</v>
      </c>
      <c r="C62" s="135">
        <v>1947</v>
      </c>
      <c r="D62" s="135"/>
      <c r="E62" s="135" t="s">
        <v>27</v>
      </c>
      <c r="F62" s="135">
        <v>2</v>
      </c>
      <c r="G62" s="135">
        <v>2</v>
      </c>
      <c r="H62" s="135">
        <v>794.2</v>
      </c>
      <c r="I62" s="135">
        <v>719.4</v>
      </c>
      <c r="J62" s="135">
        <v>719.4</v>
      </c>
      <c r="K62" s="135">
        <v>53</v>
      </c>
      <c r="L62" s="66">
        <v>2580419</v>
      </c>
      <c r="M62" s="136">
        <v>0</v>
      </c>
      <c r="N62" s="136">
        <v>0</v>
      </c>
      <c r="O62" s="136">
        <v>0</v>
      </c>
      <c r="P62" s="136">
        <v>2580419</v>
      </c>
      <c r="Q62" s="72">
        <f t="shared" si="1"/>
        <v>3586.9043647484013</v>
      </c>
      <c r="R62" s="73">
        <v>6774</v>
      </c>
      <c r="S62" s="135" t="s">
        <v>44</v>
      </c>
    </row>
    <row r="63" spans="1:19" x14ac:dyDescent="0.25">
      <c r="A63" s="73">
        <v>52</v>
      </c>
      <c r="B63" s="65" t="s">
        <v>177</v>
      </c>
      <c r="C63" s="135">
        <v>1959</v>
      </c>
      <c r="D63" s="135"/>
      <c r="E63" s="135" t="s">
        <v>27</v>
      </c>
      <c r="F63" s="135">
        <v>2</v>
      </c>
      <c r="G63" s="135">
        <v>2</v>
      </c>
      <c r="H63" s="135">
        <v>687.5</v>
      </c>
      <c r="I63" s="135">
        <v>638.6</v>
      </c>
      <c r="J63" s="135">
        <v>638.6</v>
      </c>
      <c r="K63" s="135">
        <v>26</v>
      </c>
      <c r="L63" s="66">
        <v>451222.57</v>
      </c>
      <c r="M63" s="136">
        <v>0</v>
      </c>
      <c r="N63" s="136">
        <v>0</v>
      </c>
      <c r="O63" s="136">
        <v>0</v>
      </c>
      <c r="P63" s="136">
        <v>451222.57</v>
      </c>
      <c r="Q63" s="72">
        <f t="shared" si="1"/>
        <v>706.58091136861879</v>
      </c>
      <c r="R63" s="73">
        <v>6774</v>
      </c>
      <c r="S63" s="135" t="s">
        <v>44</v>
      </c>
    </row>
    <row r="64" spans="1:19" x14ac:dyDescent="0.25">
      <c r="A64" s="73">
        <v>53</v>
      </c>
      <c r="B64" s="64" t="s">
        <v>194</v>
      </c>
      <c r="C64" s="135">
        <v>1958</v>
      </c>
      <c r="D64" s="135"/>
      <c r="E64" s="135" t="s">
        <v>27</v>
      </c>
      <c r="F64" s="135">
        <v>2</v>
      </c>
      <c r="G64" s="135">
        <v>1</v>
      </c>
      <c r="H64" s="135">
        <v>447.7</v>
      </c>
      <c r="I64" s="135">
        <v>404.4</v>
      </c>
      <c r="J64" s="135">
        <v>404.4</v>
      </c>
      <c r="K64" s="135">
        <v>26</v>
      </c>
      <c r="L64" s="66">
        <v>580578</v>
      </c>
      <c r="M64" s="136">
        <v>0</v>
      </c>
      <c r="N64" s="136">
        <v>0</v>
      </c>
      <c r="O64" s="136">
        <v>0</v>
      </c>
      <c r="P64" s="136">
        <v>580578</v>
      </c>
      <c r="Q64" s="72">
        <f t="shared" si="1"/>
        <v>1435.652818991098</v>
      </c>
      <c r="R64" s="73">
        <v>6774</v>
      </c>
      <c r="S64" s="135" t="s">
        <v>44</v>
      </c>
    </row>
    <row r="65" spans="1:19" x14ac:dyDescent="0.25">
      <c r="A65" s="73">
        <v>54</v>
      </c>
      <c r="B65" s="64" t="s">
        <v>62</v>
      </c>
      <c r="C65" s="135">
        <v>1957</v>
      </c>
      <c r="D65" s="135"/>
      <c r="E65" s="135" t="s">
        <v>27</v>
      </c>
      <c r="F65" s="135">
        <v>3</v>
      </c>
      <c r="G65" s="135">
        <v>3</v>
      </c>
      <c r="H65" s="135">
        <v>1986</v>
      </c>
      <c r="I65" s="135">
        <v>1850.2</v>
      </c>
      <c r="J65" s="135">
        <f>1850.2-202.74</f>
        <v>1647.46</v>
      </c>
      <c r="K65" s="135">
        <v>65</v>
      </c>
      <c r="L65" s="66">
        <v>3570233</v>
      </c>
      <c r="M65" s="136">
        <v>0</v>
      </c>
      <c r="N65" s="136">
        <v>0</v>
      </c>
      <c r="O65" s="136">
        <v>0</v>
      </c>
      <c r="P65" s="136">
        <v>3570233</v>
      </c>
      <c r="Q65" s="72">
        <f t="shared" si="1"/>
        <v>1929.6470651821423</v>
      </c>
      <c r="R65" s="73">
        <v>6774</v>
      </c>
      <c r="S65" s="135" t="s">
        <v>44</v>
      </c>
    </row>
    <row r="66" spans="1:19" x14ac:dyDescent="0.25">
      <c r="A66" s="73">
        <v>55</v>
      </c>
      <c r="B66" s="64" t="s">
        <v>123</v>
      </c>
      <c r="C66" s="135">
        <v>1950</v>
      </c>
      <c r="D66" s="135"/>
      <c r="E66" s="135" t="s">
        <v>218</v>
      </c>
      <c r="F66" s="135">
        <v>2</v>
      </c>
      <c r="G66" s="135">
        <v>2</v>
      </c>
      <c r="H66" s="135">
        <v>1395</v>
      </c>
      <c r="I66" s="135">
        <v>1263.0999999999999</v>
      </c>
      <c r="J66" s="135">
        <f>1263.1-101.5</f>
        <v>1161.5999999999999</v>
      </c>
      <c r="K66" s="135">
        <v>51</v>
      </c>
      <c r="L66" s="66">
        <v>1742553</v>
      </c>
      <c r="M66" s="136">
        <v>0</v>
      </c>
      <c r="N66" s="136">
        <v>0</v>
      </c>
      <c r="O66" s="136">
        <v>0</v>
      </c>
      <c r="P66" s="136">
        <v>1742553</v>
      </c>
      <c r="Q66" s="72">
        <f t="shared" si="1"/>
        <v>1379.5843559496477</v>
      </c>
      <c r="R66" s="73">
        <v>6774</v>
      </c>
      <c r="S66" s="135" t="s">
        <v>44</v>
      </c>
    </row>
    <row r="67" spans="1:19" x14ac:dyDescent="0.25">
      <c r="A67" s="73">
        <v>56</v>
      </c>
      <c r="B67" s="64" t="s">
        <v>196</v>
      </c>
      <c r="C67" s="135">
        <v>1925</v>
      </c>
      <c r="D67" s="135"/>
      <c r="E67" s="135" t="s">
        <v>224</v>
      </c>
      <c r="F67" s="135">
        <v>2</v>
      </c>
      <c r="G67" s="135">
        <v>2</v>
      </c>
      <c r="H67" s="135">
        <v>440.6</v>
      </c>
      <c r="I67" s="135">
        <v>395</v>
      </c>
      <c r="J67" s="135">
        <f>395-32.6</f>
        <v>362.4</v>
      </c>
      <c r="K67" s="135">
        <v>23</v>
      </c>
      <c r="L67" s="66">
        <v>682529</v>
      </c>
      <c r="M67" s="136">
        <v>0</v>
      </c>
      <c r="N67" s="136">
        <v>0</v>
      </c>
      <c r="O67" s="136">
        <v>0</v>
      </c>
      <c r="P67" s="136">
        <v>682529</v>
      </c>
      <c r="Q67" s="72">
        <f t="shared" si="1"/>
        <v>1727.9215189873419</v>
      </c>
      <c r="R67" s="73">
        <v>6774</v>
      </c>
      <c r="S67" s="135" t="s">
        <v>44</v>
      </c>
    </row>
    <row r="68" spans="1:19" x14ac:dyDescent="0.25">
      <c r="A68" s="73">
        <v>57</v>
      </c>
      <c r="B68" s="64" t="s">
        <v>188</v>
      </c>
      <c r="C68" s="135">
        <v>1963</v>
      </c>
      <c r="D68" s="135"/>
      <c r="E68" s="135" t="s">
        <v>27</v>
      </c>
      <c r="F68" s="135">
        <v>4</v>
      </c>
      <c r="G68" s="135">
        <v>3</v>
      </c>
      <c r="H68" s="135">
        <v>2252.8000000000002</v>
      </c>
      <c r="I68" s="135">
        <v>2010</v>
      </c>
      <c r="J68" s="135">
        <f>2010-43.3</f>
        <v>1966.7</v>
      </c>
      <c r="K68" s="135">
        <v>60</v>
      </c>
      <c r="L68" s="66">
        <v>1756852</v>
      </c>
      <c r="M68" s="136">
        <v>0</v>
      </c>
      <c r="N68" s="136">
        <v>0</v>
      </c>
      <c r="O68" s="136">
        <v>0</v>
      </c>
      <c r="P68" s="136">
        <v>1756852</v>
      </c>
      <c r="Q68" s="72">
        <f t="shared" si="1"/>
        <v>874.05572139303479</v>
      </c>
      <c r="R68" s="73">
        <v>6774</v>
      </c>
      <c r="S68" s="135" t="s">
        <v>44</v>
      </c>
    </row>
    <row r="69" spans="1:19" x14ac:dyDescent="0.25">
      <c r="A69" s="73">
        <v>58</v>
      </c>
      <c r="B69" s="64" t="s">
        <v>87</v>
      </c>
      <c r="C69" s="135">
        <v>1958</v>
      </c>
      <c r="D69" s="135"/>
      <c r="E69" s="135" t="s">
        <v>27</v>
      </c>
      <c r="F69" s="135">
        <v>2</v>
      </c>
      <c r="G69" s="135">
        <v>1</v>
      </c>
      <c r="H69" s="135">
        <v>471.1</v>
      </c>
      <c r="I69" s="135">
        <v>406.4</v>
      </c>
      <c r="J69" s="135">
        <v>406.4</v>
      </c>
      <c r="K69" s="135">
        <v>21</v>
      </c>
      <c r="L69" s="66">
        <v>1136930</v>
      </c>
      <c r="M69" s="136">
        <v>0</v>
      </c>
      <c r="N69" s="136">
        <v>0</v>
      </c>
      <c r="O69" s="136">
        <v>0</v>
      </c>
      <c r="P69" s="136">
        <v>1136930</v>
      </c>
      <c r="Q69" s="72">
        <f t="shared" si="1"/>
        <v>2797.5639763779527</v>
      </c>
      <c r="R69" s="73">
        <v>6774</v>
      </c>
      <c r="S69" s="135" t="s">
        <v>44</v>
      </c>
    </row>
    <row r="70" spans="1:19" x14ac:dyDescent="0.25">
      <c r="A70" s="73">
        <v>59</v>
      </c>
      <c r="B70" s="64" t="s">
        <v>57</v>
      </c>
      <c r="C70" s="135">
        <v>1970</v>
      </c>
      <c r="D70" s="135"/>
      <c r="E70" s="135" t="s">
        <v>26</v>
      </c>
      <c r="F70" s="135">
        <v>5</v>
      </c>
      <c r="G70" s="135">
        <v>6</v>
      </c>
      <c r="H70" s="135">
        <v>4457.5</v>
      </c>
      <c r="I70" s="135">
        <v>4008.5</v>
      </c>
      <c r="J70" s="135">
        <v>4008.5</v>
      </c>
      <c r="K70" s="135">
        <v>181</v>
      </c>
      <c r="L70" s="66">
        <v>1969149</v>
      </c>
      <c r="M70" s="136">
        <v>0</v>
      </c>
      <c r="N70" s="136">
        <v>0</v>
      </c>
      <c r="O70" s="136">
        <v>0</v>
      </c>
      <c r="P70" s="136">
        <v>1969149</v>
      </c>
      <c r="Q70" s="72">
        <f t="shared" si="1"/>
        <v>491.24335786453787</v>
      </c>
      <c r="R70" s="73">
        <v>6774</v>
      </c>
      <c r="S70" s="135" t="s">
        <v>44</v>
      </c>
    </row>
    <row r="71" spans="1:19" x14ac:dyDescent="0.25">
      <c r="A71" s="73">
        <v>60</v>
      </c>
      <c r="B71" s="64" t="s">
        <v>151</v>
      </c>
      <c r="C71" s="135">
        <v>1957</v>
      </c>
      <c r="D71" s="135"/>
      <c r="E71" s="135" t="s">
        <v>27</v>
      </c>
      <c r="F71" s="135">
        <v>2</v>
      </c>
      <c r="G71" s="135">
        <v>1</v>
      </c>
      <c r="H71" s="135">
        <f>412+41.6</f>
        <v>453.6</v>
      </c>
      <c r="I71" s="135">
        <v>412</v>
      </c>
      <c r="J71" s="135">
        <f>412-61.5</f>
        <v>350.5</v>
      </c>
      <c r="K71" s="135">
        <v>21</v>
      </c>
      <c r="L71" s="66">
        <v>269948.13</v>
      </c>
      <c r="M71" s="136">
        <v>0</v>
      </c>
      <c r="N71" s="136">
        <v>0</v>
      </c>
      <c r="O71" s="136">
        <v>0</v>
      </c>
      <c r="P71" s="136">
        <v>269948.13</v>
      </c>
      <c r="Q71" s="72">
        <f t="shared" si="1"/>
        <v>655.21390776699025</v>
      </c>
      <c r="R71" s="73">
        <v>6774</v>
      </c>
      <c r="S71" s="135" t="s">
        <v>44</v>
      </c>
    </row>
    <row r="72" spans="1:19" x14ac:dyDescent="0.25">
      <c r="A72" s="73">
        <v>61</v>
      </c>
      <c r="B72" s="64" t="s">
        <v>214</v>
      </c>
      <c r="C72" s="135">
        <v>1959</v>
      </c>
      <c r="D72" s="135"/>
      <c r="E72" s="135" t="s">
        <v>27</v>
      </c>
      <c r="F72" s="135">
        <v>2</v>
      </c>
      <c r="G72" s="135">
        <v>2</v>
      </c>
      <c r="H72" s="135">
        <v>700.6</v>
      </c>
      <c r="I72" s="135">
        <v>651.9</v>
      </c>
      <c r="J72" s="135">
        <v>651.9</v>
      </c>
      <c r="K72" s="135">
        <v>26</v>
      </c>
      <c r="L72" s="66">
        <v>1729707</v>
      </c>
      <c r="M72" s="136">
        <v>0</v>
      </c>
      <c r="N72" s="136">
        <v>0</v>
      </c>
      <c r="O72" s="136">
        <v>0</v>
      </c>
      <c r="P72" s="136">
        <v>1729707</v>
      </c>
      <c r="Q72" s="72">
        <f t="shared" si="1"/>
        <v>2653.3317993557293</v>
      </c>
      <c r="R72" s="73">
        <v>6774</v>
      </c>
      <c r="S72" s="135" t="s">
        <v>44</v>
      </c>
    </row>
    <row r="73" spans="1:19" x14ac:dyDescent="0.25">
      <c r="A73" s="73">
        <v>62</v>
      </c>
      <c r="B73" s="64" t="s">
        <v>200</v>
      </c>
      <c r="C73" s="135">
        <v>1977</v>
      </c>
      <c r="D73" s="135"/>
      <c r="E73" s="135" t="s">
        <v>27</v>
      </c>
      <c r="F73" s="135">
        <v>9</v>
      </c>
      <c r="G73" s="135">
        <v>1</v>
      </c>
      <c r="H73" s="135">
        <v>3787.9</v>
      </c>
      <c r="I73" s="135">
        <v>3153.4</v>
      </c>
      <c r="J73" s="135">
        <f>3153.4-48.7</f>
        <v>3104.7000000000003</v>
      </c>
      <c r="K73" s="135">
        <v>174</v>
      </c>
      <c r="L73" s="66">
        <v>1871554</v>
      </c>
      <c r="M73" s="136">
        <v>0</v>
      </c>
      <c r="N73" s="136">
        <v>0</v>
      </c>
      <c r="O73" s="136">
        <v>0</v>
      </c>
      <c r="P73" s="136">
        <v>1871554</v>
      </c>
      <c r="Q73" s="72">
        <f t="shared" si="1"/>
        <v>593.50352001014778</v>
      </c>
      <c r="R73" s="73">
        <v>6774</v>
      </c>
      <c r="S73" s="135" t="s">
        <v>44</v>
      </c>
    </row>
    <row r="74" spans="1:19" x14ac:dyDescent="0.25">
      <c r="A74" s="73">
        <v>63</v>
      </c>
      <c r="B74" s="64" t="s">
        <v>140</v>
      </c>
      <c r="C74" s="135">
        <v>1949</v>
      </c>
      <c r="D74" s="135"/>
      <c r="E74" s="135" t="s">
        <v>27</v>
      </c>
      <c r="F74" s="135">
        <v>2</v>
      </c>
      <c r="G74" s="135">
        <v>2</v>
      </c>
      <c r="H74" s="135">
        <v>782.2</v>
      </c>
      <c r="I74" s="135">
        <v>704.6</v>
      </c>
      <c r="J74" s="135">
        <f>704.6-103.4</f>
        <v>601.20000000000005</v>
      </c>
      <c r="K74" s="135">
        <v>35</v>
      </c>
      <c r="L74" s="66">
        <v>1726391</v>
      </c>
      <c r="M74" s="136">
        <v>0</v>
      </c>
      <c r="N74" s="136">
        <v>0</v>
      </c>
      <c r="O74" s="136">
        <v>0</v>
      </c>
      <c r="P74" s="136">
        <v>1726391</v>
      </c>
      <c r="Q74" s="72">
        <f t="shared" si="1"/>
        <v>2450.1717286403632</v>
      </c>
      <c r="R74" s="73">
        <v>6774</v>
      </c>
      <c r="S74" s="135" t="s">
        <v>44</v>
      </c>
    </row>
    <row r="75" spans="1:19" x14ac:dyDescent="0.25">
      <c r="A75" s="73">
        <v>64</v>
      </c>
      <c r="B75" s="64" t="s">
        <v>122</v>
      </c>
      <c r="C75" s="135">
        <v>1950</v>
      </c>
      <c r="D75" s="135"/>
      <c r="E75" s="135" t="s">
        <v>219</v>
      </c>
      <c r="F75" s="135">
        <v>2</v>
      </c>
      <c r="G75" s="135">
        <v>3</v>
      </c>
      <c r="H75" s="135">
        <v>1372.1</v>
      </c>
      <c r="I75" s="135">
        <v>1246.7</v>
      </c>
      <c r="J75" s="135">
        <v>1246.7</v>
      </c>
      <c r="K75" s="135">
        <v>71</v>
      </c>
      <c r="L75" s="66">
        <v>1140234</v>
      </c>
      <c r="M75" s="136">
        <v>0</v>
      </c>
      <c r="N75" s="136">
        <v>0</v>
      </c>
      <c r="O75" s="136">
        <v>0</v>
      </c>
      <c r="P75" s="136">
        <v>1140234</v>
      </c>
      <c r="Q75" s="72">
        <f t="shared" si="1"/>
        <v>914.60174861634709</v>
      </c>
      <c r="R75" s="73">
        <v>6774</v>
      </c>
      <c r="S75" s="135" t="s">
        <v>44</v>
      </c>
    </row>
    <row r="76" spans="1:19" x14ac:dyDescent="0.25">
      <c r="A76" s="73">
        <v>65</v>
      </c>
      <c r="B76" s="65" t="s">
        <v>98</v>
      </c>
      <c r="C76" s="135">
        <v>1956</v>
      </c>
      <c r="D76" s="135"/>
      <c r="E76" s="135" t="s">
        <v>27</v>
      </c>
      <c r="F76" s="135">
        <v>2</v>
      </c>
      <c r="G76" s="135">
        <v>2</v>
      </c>
      <c r="H76" s="135">
        <f>413.4+44.2</f>
        <v>457.59999999999997</v>
      </c>
      <c r="I76" s="135">
        <v>413.4</v>
      </c>
      <c r="J76" s="135">
        <f>413.4-113.4</f>
        <v>300</v>
      </c>
      <c r="K76" s="135">
        <v>26</v>
      </c>
      <c r="L76" s="66">
        <v>1208259.28</v>
      </c>
      <c r="M76" s="136">
        <v>0</v>
      </c>
      <c r="N76" s="136">
        <v>0</v>
      </c>
      <c r="O76" s="136">
        <v>0</v>
      </c>
      <c r="P76" s="136">
        <v>1208259.28</v>
      </c>
      <c r="Q76" s="72">
        <f t="shared" ref="Q76:Q107" si="2">L76/I76</f>
        <v>2922.7365263667152</v>
      </c>
      <c r="R76" s="73">
        <v>6774</v>
      </c>
      <c r="S76" s="135" t="s">
        <v>44</v>
      </c>
    </row>
    <row r="77" spans="1:19" x14ac:dyDescent="0.25">
      <c r="A77" s="73">
        <v>66</v>
      </c>
      <c r="B77" s="65" t="s">
        <v>71</v>
      </c>
      <c r="C77" s="135">
        <v>1953</v>
      </c>
      <c r="D77" s="135"/>
      <c r="E77" s="135" t="s">
        <v>27</v>
      </c>
      <c r="F77" s="135">
        <v>2</v>
      </c>
      <c r="G77" s="135">
        <v>2</v>
      </c>
      <c r="H77" s="135">
        <v>929.4</v>
      </c>
      <c r="I77" s="135">
        <v>861.6</v>
      </c>
      <c r="J77" s="135">
        <v>861.6</v>
      </c>
      <c r="K77" s="135">
        <v>55</v>
      </c>
      <c r="L77" s="66">
        <v>887270</v>
      </c>
      <c r="M77" s="136">
        <v>0</v>
      </c>
      <c r="N77" s="136">
        <v>0</v>
      </c>
      <c r="O77" s="136">
        <v>0</v>
      </c>
      <c r="P77" s="136">
        <v>887270</v>
      </c>
      <c r="Q77" s="72">
        <f t="shared" si="2"/>
        <v>1029.7934076137419</v>
      </c>
      <c r="R77" s="73">
        <v>6774</v>
      </c>
      <c r="S77" s="135" t="s">
        <v>44</v>
      </c>
    </row>
    <row r="78" spans="1:19" x14ac:dyDescent="0.25">
      <c r="A78" s="73">
        <v>67</v>
      </c>
      <c r="B78" s="65" t="s">
        <v>93</v>
      </c>
      <c r="C78" s="135">
        <v>1957</v>
      </c>
      <c r="D78" s="135"/>
      <c r="E78" s="135" t="s">
        <v>27</v>
      </c>
      <c r="F78" s="135">
        <v>4</v>
      </c>
      <c r="G78" s="135">
        <v>3</v>
      </c>
      <c r="H78" s="135">
        <v>2374.1</v>
      </c>
      <c r="I78" s="135">
        <v>2160.8000000000002</v>
      </c>
      <c r="J78" s="135">
        <f>2160.8-109.5</f>
        <v>2051.3000000000002</v>
      </c>
      <c r="K78" s="135">
        <v>77</v>
      </c>
      <c r="L78" s="66">
        <v>1952489</v>
      </c>
      <c r="M78" s="136">
        <v>0</v>
      </c>
      <c r="N78" s="136">
        <v>0</v>
      </c>
      <c r="O78" s="136">
        <v>0</v>
      </c>
      <c r="P78" s="136">
        <v>1952489</v>
      </c>
      <c r="Q78" s="72">
        <f t="shared" si="2"/>
        <v>903.5954276194002</v>
      </c>
      <c r="R78" s="73">
        <v>6774</v>
      </c>
      <c r="S78" s="135" t="s">
        <v>44</v>
      </c>
    </row>
    <row r="79" spans="1:19" x14ac:dyDescent="0.25">
      <c r="A79" s="73">
        <v>68</v>
      </c>
      <c r="B79" s="65" t="s">
        <v>63</v>
      </c>
      <c r="C79" s="135">
        <v>1948</v>
      </c>
      <c r="D79" s="135"/>
      <c r="E79" s="135" t="s">
        <v>27</v>
      </c>
      <c r="F79" s="135">
        <v>2</v>
      </c>
      <c r="G79" s="135">
        <v>3</v>
      </c>
      <c r="H79" s="135">
        <v>1336.2</v>
      </c>
      <c r="I79" s="135">
        <v>1220.2</v>
      </c>
      <c r="J79" s="135">
        <f>1150.7</f>
        <v>1150.7</v>
      </c>
      <c r="K79" s="135">
        <v>44</v>
      </c>
      <c r="L79" s="66">
        <v>2468472</v>
      </c>
      <c r="M79" s="136">
        <v>0</v>
      </c>
      <c r="N79" s="136">
        <v>0</v>
      </c>
      <c r="O79" s="136">
        <v>0</v>
      </c>
      <c r="P79" s="136">
        <v>2468472</v>
      </c>
      <c r="Q79" s="72">
        <f t="shared" si="2"/>
        <v>2023.006064579577</v>
      </c>
      <c r="R79" s="73">
        <v>6774</v>
      </c>
      <c r="S79" s="135" t="s">
        <v>44</v>
      </c>
    </row>
    <row r="80" spans="1:19" x14ac:dyDescent="0.25">
      <c r="A80" s="73">
        <v>69</v>
      </c>
      <c r="B80" s="64" t="s">
        <v>201</v>
      </c>
      <c r="C80" s="135">
        <v>1959</v>
      </c>
      <c r="D80" s="135"/>
      <c r="E80" s="135" t="s">
        <v>27</v>
      </c>
      <c r="F80" s="135">
        <v>4</v>
      </c>
      <c r="G80" s="135">
        <v>3</v>
      </c>
      <c r="H80" s="135">
        <v>2573</v>
      </c>
      <c r="I80" s="135">
        <v>2419</v>
      </c>
      <c r="J80" s="135">
        <f>2419-204.19</f>
        <v>2214.81</v>
      </c>
      <c r="K80" s="135">
        <v>129</v>
      </c>
      <c r="L80" s="66">
        <v>1053533.22</v>
      </c>
      <c r="M80" s="136">
        <v>0</v>
      </c>
      <c r="N80" s="136">
        <v>0</v>
      </c>
      <c r="O80" s="136">
        <v>0</v>
      </c>
      <c r="P80" s="136">
        <v>1053533.22</v>
      </c>
      <c r="Q80" s="72">
        <f t="shared" si="2"/>
        <v>435.52427449359237</v>
      </c>
      <c r="R80" s="73">
        <v>6774</v>
      </c>
      <c r="S80" s="135" t="s">
        <v>44</v>
      </c>
    </row>
    <row r="81" spans="1:19" x14ac:dyDescent="0.25">
      <c r="A81" s="73">
        <v>70</v>
      </c>
      <c r="B81" s="64" t="s">
        <v>115</v>
      </c>
      <c r="C81" s="135">
        <v>1959</v>
      </c>
      <c r="D81" s="135"/>
      <c r="E81" s="135" t="s">
        <v>27</v>
      </c>
      <c r="F81" s="135">
        <v>2</v>
      </c>
      <c r="G81" s="135">
        <v>2</v>
      </c>
      <c r="H81" s="135">
        <v>691.2</v>
      </c>
      <c r="I81" s="135">
        <v>646.5</v>
      </c>
      <c r="J81" s="135">
        <v>646.5</v>
      </c>
      <c r="K81" s="135">
        <v>35</v>
      </c>
      <c r="L81" s="66">
        <v>1702108</v>
      </c>
      <c r="M81" s="136">
        <v>0</v>
      </c>
      <c r="N81" s="136">
        <v>0</v>
      </c>
      <c r="O81" s="136">
        <v>0</v>
      </c>
      <c r="P81" s="136">
        <v>1702108</v>
      </c>
      <c r="Q81" s="72">
        <f t="shared" si="2"/>
        <v>2632.8043310131479</v>
      </c>
      <c r="R81" s="73">
        <v>6774</v>
      </c>
      <c r="S81" s="135" t="s">
        <v>44</v>
      </c>
    </row>
    <row r="82" spans="1:19" x14ac:dyDescent="0.25">
      <c r="A82" s="73">
        <v>71</v>
      </c>
      <c r="B82" s="65" t="s">
        <v>254</v>
      </c>
      <c r="C82" s="135">
        <v>1967</v>
      </c>
      <c r="D82" s="135"/>
      <c r="E82" s="135" t="s">
        <v>27</v>
      </c>
      <c r="F82" s="135">
        <v>5</v>
      </c>
      <c r="G82" s="135">
        <v>8</v>
      </c>
      <c r="H82" s="135">
        <v>6072.6</v>
      </c>
      <c r="I82" s="135">
        <v>5724.5</v>
      </c>
      <c r="J82" s="135">
        <f>5724.5-453.1</f>
        <v>5271.4</v>
      </c>
      <c r="K82" s="135">
        <v>119</v>
      </c>
      <c r="L82" s="66">
        <v>2861497</v>
      </c>
      <c r="M82" s="136">
        <v>0</v>
      </c>
      <c r="N82" s="136">
        <v>0</v>
      </c>
      <c r="O82" s="136">
        <v>0</v>
      </c>
      <c r="P82" s="136">
        <v>2861497</v>
      </c>
      <c r="Q82" s="72">
        <f t="shared" si="2"/>
        <v>499.86846012752204</v>
      </c>
      <c r="R82" s="73">
        <v>6774</v>
      </c>
      <c r="S82" s="135" t="s">
        <v>44</v>
      </c>
    </row>
    <row r="83" spans="1:19" x14ac:dyDescent="0.25">
      <c r="A83" s="73">
        <v>72</v>
      </c>
      <c r="B83" s="64" t="s">
        <v>121</v>
      </c>
      <c r="C83" s="135">
        <v>1952</v>
      </c>
      <c r="D83" s="135"/>
      <c r="E83" s="135" t="s">
        <v>27</v>
      </c>
      <c r="F83" s="135">
        <v>2</v>
      </c>
      <c r="G83" s="135">
        <v>2</v>
      </c>
      <c r="H83" s="135">
        <v>409.7</v>
      </c>
      <c r="I83" s="135">
        <v>381.9</v>
      </c>
      <c r="J83" s="135">
        <v>381.9</v>
      </c>
      <c r="K83" s="135">
        <v>31</v>
      </c>
      <c r="L83" s="66">
        <v>836226</v>
      </c>
      <c r="M83" s="136">
        <v>0</v>
      </c>
      <c r="N83" s="136">
        <v>0</v>
      </c>
      <c r="O83" s="136">
        <v>0</v>
      </c>
      <c r="P83" s="136">
        <v>836226</v>
      </c>
      <c r="Q83" s="72">
        <f t="shared" si="2"/>
        <v>2189.646504320503</v>
      </c>
      <c r="R83" s="73">
        <v>6774</v>
      </c>
      <c r="S83" s="135" t="s">
        <v>44</v>
      </c>
    </row>
    <row r="84" spans="1:19" x14ac:dyDescent="0.25">
      <c r="A84" s="73">
        <v>73</v>
      </c>
      <c r="B84" s="64" t="s">
        <v>180</v>
      </c>
      <c r="C84" s="135">
        <v>1975</v>
      </c>
      <c r="D84" s="135"/>
      <c r="E84" s="135" t="s">
        <v>27</v>
      </c>
      <c r="F84" s="135">
        <v>9</v>
      </c>
      <c r="G84" s="135">
        <v>5</v>
      </c>
      <c r="H84" s="135">
        <v>14731.4</v>
      </c>
      <c r="I84" s="135">
        <v>14731.4</v>
      </c>
      <c r="J84" s="135">
        <f>10558.9-1007.1</f>
        <v>9551.7999999999993</v>
      </c>
      <c r="K84" s="135">
        <v>240</v>
      </c>
      <c r="L84" s="66">
        <v>9473599</v>
      </c>
      <c r="M84" s="136">
        <v>0</v>
      </c>
      <c r="N84" s="136">
        <v>0</v>
      </c>
      <c r="O84" s="136">
        <v>0</v>
      </c>
      <c r="P84" s="136">
        <v>9473599</v>
      </c>
      <c r="Q84" s="72">
        <f t="shared" si="2"/>
        <v>643.08884423747918</v>
      </c>
      <c r="R84" s="73">
        <v>6774</v>
      </c>
      <c r="S84" s="135" t="s">
        <v>44</v>
      </c>
    </row>
    <row r="85" spans="1:19" x14ac:dyDescent="0.25">
      <c r="A85" s="73">
        <v>74</v>
      </c>
      <c r="B85" s="64" t="s">
        <v>195</v>
      </c>
      <c r="C85" s="135">
        <v>1971</v>
      </c>
      <c r="D85" s="135"/>
      <c r="E85" s="135" t="s">
        <v>27</v>
      </c>
      <c r="F85" s="135">
        <v>2</v>
      </c>
      <c r="G85" s="135">
        <v>1</v>
      </c>
      <c r="H85" s="135">
        <v>451.3</v>
      </c>
      <c r="I85" s="135">
        <v>406.8</v>
      </c>
      <c r="J85" s="135">
        <f>406.8-47</f>
        <v>359.8</v>
      </c>
      <c r="K85" s="135">
        <v>16</v>
      </c>
      <c r="L85" s="66">
        <v>615357</v>
      </c>
      <c r="M85" s="136">
        <v>0</v>
      </c>
      <c r="N85" s="136">
        <v>0</v>
      </c>
      <c r="O85" s="136">
        <v>0</v>
      </c>
      <c r="P85" s="136">
        <v>615357</v>
      </c>
      <c r="Q85" s="72">
        <f t="shared" si="2"/>
        <v>1512.6769911504425</v>
      </c>
      <c r="R85" s="73">
        <v>6774</v>
      </c>
      <c r="S85" s="135" t="s">
        <v>44</v>
      </c>
    </row>
    <row r="86" spans="1:19" x14ac:dyDescent="0.25">
      <c r="A86" s="73">
        <v>75</v>
      </c>
      <c r="B86" s="64" t="s">
        <v>187</v>
      </c>
      <c r="C86" s="135">
        <v>1962</v>
      </c>
      <c r="D86" s="135"/>
      <c r="E86" s="135" t="s">
        <v>26</v>
      </c>
      <c r="F86" s="135">
        <v>4</v>
      </c>
      <c r="G86" s="135">
        <v>4</v>
      </c>
      <c r="H86" s="135">
        <v>3144.9</v>
      </c>
      <c r="I86" s="135">
        <v>2839.3</v>
      </c>
      <c r="J86" s="135">
        <v>2675.1</v>
      </c>
      <c r="K86" s="135">
        <v>143</v>
      </c>
      <c r="L86" s="66">
        <v>2491348</v>
      </c>
      <c r="M86" s="136">
        <v>0</v>
      </c>
      <c r="N86" s="136">
        <v>0</v>
      </c>
      <c r="O86" s="136">
        <v>0</v>
      </c>
      <c r="P86" s="136">
        <v>2491348</v>
      </c>
      <c r="Q86" s="72">
        <f t="shared" si="2"/>
        <v>877.45148452083254</v>
      </c>
      <c r="R86" s="73">
        <v>6774</v>
      </c>
      <c r="S86" s="135" t="s">
        <v>44</v>
      </c>
    </row>
    <row r="87" spans="1:19" x14ac:dyDescent="0.25">
      <c r="A87" s="73">
        <v>76</v>
      </c>
      <c r="B87" s="64" t="s">
        <v>116</v>
      </c>
      <c r="C87" s="135">
        <v>1961</v>
      </c>
      <c r="D87" s="135"/>
      <c r="E87" s="135" t="s">
        <v>27</v>
      </c>
      <c r="F87" s="135">
        <v>5</v>
      </c>
      <c r="G87" s="135">
        <v>4</v>
      </c>
      <c r="H87" s="135">
        <v>3877.5</v>
      </c>
      <c r="I87" s="135">
        <v>3271.1</v>
      </c>
      <c r="J87" s="135">
        <f>2551.3</f>
        <v>2551.3000000000002</v>
      </c>
      <c r="K87" s="135">
        <v>64</v>
      </c>
      <c r="L87" s="66">
        <v>1098449</v>
      </c>
      <c r="M87" s="136">
        <v>0</v>
      </c>
      <c r="N87" s="136">
        <v>0</v>
      </c>
      <c r="O87" s="136">
        <v>0</v>
      </c>
      <c r="P87" s="136">
        <v>1098449</v>
      </c>
      <c r="Q87" s="72">
        <f t="shared" si="2"/>
        <v>335.8041637369692</v>
      </c>
      <c r="R87" s="73">
        <v>6774</v>
      </c>
      <c r="S87" s="135" t="s">
        <v>44</v>
      </c>
    </row>
    <row r="88" spans="1:19" x14ac:dyDescent="0.25">
      <c r="A88" s="73">
        <v>77</v>
      </c>
      <c r="B88" s="64" t="s">
        <v>189</v>
      </c>
      <c r="C88" s="135">
        <v>1961</v>
      </c>
      <c r="D88" s="135"/>
      <c r="E88" s="135" t="s">
        <v>27</v>
      </c>
      <c r="F88" s="135">
        <v>3</v>
      </c>
      <c r="G88" s="135">
        <v>2</v>
      </c>
      <c r="H88" s="135">
        <v>998.3</v>
      </c>
      <c r="I88" s="135">
        <v>954.8</v>
      </c>
      <c r="J88" s="135">
        <f>954.8-128.8</f>
        <v>826</v>
      </c>
      <c r="K88" s="135">
        <v>53</v>
      </c>
      <c r="L88" s="66">
        <v>1081718</v>
      </c>
      <c r="M88" s="136">
        <v>0</v>
      </c>
      <c r="N88" s="136">
        <v>0</v>
      </c>
      <c r="O88" s="136">
        <v>0</v>
      </c>
      <c r="P88" s="136">
        <v>1081718</v>
      </c>
      <c r="Q88" s="72">
        <f t="shared" si="2"/>
        <v>1132.926267281106</v>
      </c>
      <c r="R88" s="73">
        <v>6774</v>
      </c>
      <c r="S88" s="135" t="s">
        <v>44</v>
      </c>
    </row>
    <row r="89" spans="1:19" x14ac:dyDescent="0.25">
      <c r="A89" s="73">
        <v>78</v>
      </c>
      <c r="B89" s="64" t="s">
        <v>114</v>
      </c>
      <c r="C89" s="135">
        <v>1959</v>
      </c>
      <c r="D89" s="135"/>
      <c r="E89" s="135" t="s">
        <v>27</v>
      </c>
      <c r="F89" s="135">
        <v>2</v>
      </c>
      <c r="G89" s="135">
        <v>2</v>
      </c>
      <c r="H89" s="135">
        <v>694.1</v>
      </c>
      <c r="I89" s="135">
        <v>645.20000000000005</v>
      </c>
      <c r="J89" s="135">
        <v>645.20000000000005</v>
      </c>
      <c r="K89" s="135">
        <v>33</v>
      </c>
      <c r="L89" s="66">
        <v>1100896</v>
      </c>
      <c r="M89" s="136">
        <v>0</v>
      </c>
      <c r="N89" s="136">
        <v>0</v>
      </c>
      <c r="O89" s="136">
        <v>0</v>
      </c>
      <c r="P89" s="136">
        <v>1100896</v>
      </c>
      <c r="Q89" s="72">
        <f t="shared" si="2"/>
        <v>1706.2864228146309</v>
      </c>
      <c r="R89" s="73">
        <v>6774</v>
      </c>
      <c r="S89" s="135" t="s">
        <v>44</v>
      </c>
    </row>
    <row r="90" spans="1:19" x14ac:dyDescent="0.25">
      <c r="A90" s="73">
        <v>79</v>
      </c>
      <c r="B90" s="64" t="s">
        <v>147</v>
      </c>
      <c r="C90" s="135">
        <v>1960</v>
      </c>
      <c r="D90" s="135"/>
      <c r="E90" s="135" t="s">
        <v>27</v>
      </c>
      <c r="F90" s="135">
        <v>4</v>
      </c>
      <c r="G90" s="135">
        <v>3</v>
      </c>
      <c r="H90" s="135">
        <v>2150.6999999999998</v>
      </c>
      <c r="I90" s="135">
        <v>2010.5</v>
      </c>
      <c r="J90" s="135">
        <f>1971.6</f>
        <v>1971.6</v>
      </c>
      <c r="K90" s="135">
        <v>78</v>
      </c>
      <c r="L90" s="66">
        <v>1865304</v>
      </c>
      <c r="M90" s="136">
        <v>0</v>
      </c>
      <c r="N90" s="136">
        <v>0</v>
      </c>
      <c r="O90" s="136">
        <v>0</v>
      </c>
      <c r="P90" s="136">
        <v>1865304</v>
      </c>
      <c r="Q90" s="72">
        <f t="shared" si="2"/>
        <v>927.7811489679184</v>
      </c>
      <c r="R90" s="73">
        <v>6774</v>
      </c>
      <c r="S90" s="135" t="s">
        <v>44</v>
      </c>
    </row>
    <row r="91" spans="1:19" ht="15" customHeight="1" x14ac:dyDescent="0.25">
      <c r="A91" s="73">
        <v>80</v>
      </c>
      <c r="B91" s="64" t="s">
        <v>197</v>
      </c>
      <c r="C91" s="73">
        <v>1968</v>
      </c>
      <c r="D91" s="74"/>
      <c r="E91" s="74" t="s">
        <v>26</v>
      </c>
      <c r="F91" s="74">
        <v>5</v>
      </c>
      <c r="G91" s="74">
        <v>5</v>
      </c>
      <c r="H91" s="75">
        <v>3422.8</v>
      </c>
      <c r="I91" s="75">
        <v>3087.4</v>
      </c>
      <c r="J91" s="75">
        <f>3087.4-178.8</f>
        <v>2908.6</v>
      </c>
      <c r="K91" s="76">
        <v>178</v>
      </c>
      <c r="L91" s="66">
        <v>1822779</v>
      </c>
      <c r="M91" s="136">
        <v>0</v>
      </c>
      <c r="N91" s="136">
        <v>0</v>
      </c>
      <c r="O91" s="136">
        <v>0</v>
      </c>
      <c r="P91" s="77">
        <v>1822779</v>
      </c>
      <c r="Q91" s="72">
        <f t="shared" si="2"/>
        <v>590.39288721901926</v>
      </c>
      <c r="R91" s="73">
        <v>6774</v>
      </c>
      <c r="S91" s="137" t="s">
        <v>44</v>
      </c>
    </row>
    <row r="92" spans="1:19" x14ac:dyDescent="0.25">
      <c r="A92" s="73">
        <v>81</v>
      </c>
      <c r="B92" s="64" t="s">
        <v>125</v>
      </c>
      <c r="C92" s="73">
        <v>1949</v>
      </c>
      <c r="D92" s="74"/>
      <c r="E92" s="74" t="s">
        <v>27</v>
      </c>
      <c r="F92" s="74">
        <v>2</v>
      </c>
      <c r="G92" s="74">
        <v>1</v>
      </c>
      <c r="H92" s="75">
        <v>396.2</v>
      </c>
      <c r="I92" s="75">
        <v>363.9</v>
      </c>
      <c r="J92" s="75">
        <v>363.9</v>
      </c>
      <c r="K92" s="76">
        <v>19</v>
      </c>
      <c r="L92" s="66">
        <v>661525</v>
      </c>
      <c r="M92" s="136">
        <v>0</v>
      </c>
      <c r="N92" s="136">
        <v>0</v>
      </c>
      <c r="O92" s="136">
        <v>0</v>
      </c>
      <c r="P92" s="77">
        <v>661525</v>
      </c>
      <c r="Q92" s="72">
        <f t="shared" si="2"/>
        <v>1817.8757900522123</v>
      </c>
      <c r="R92" s="73">
        <v>6774</v>
      </c>
      <c r="S92" s="137" t="s">
        <v>44</v>
      </c>
    </row>
    <row r="93" spans="1:19" x14ac:dyDescent="0.25">
      <c r="A93" s="73">
        <v>82</v>
      </c>
      <c r="B93" s="64" t="s">
        <v>113</v>
      </c>
      <c r="C93" s="73">
        <v>1958</v>
      </c>
      <c r="D93" s="74"/>
      <c r="E93" s="74" t="s">
        <v>27</v>
      </c>
      <c r="F93" s="74">
        <v>2</v>
      </c>
      <c r="G93" s="74">
        <v>2</v>
      </c>
      <c r="H93" s="75">
        <v>958</v>
      </c>
      <c r="I93" s="75">
        <v>636.9</v>
      </c>
      <c r="J93" s="75">
        <v>636.9</v>
      </c>
      <c r="K93" s="76">
        <v>35</v>
      </c>
      <c r="L93" s="66">
        <v>1321356</v>
      </c>
      <c r="M93" s="136">
        <v>0</v>
      </c>
      <c r="N93" s="136">
        <v>0</v>
      </c>
      <c r="O93" s="136">
        <v>0</v>
      </c>
      <c r="P93" s="77">
        <v>1321356</v>
      </c>
      <c r="Q93" s="72">
        <f t="shared" si="2"/>
        <v>2074.6679227508243</v>
      </c>
      <c r="R93" s="73">
        <v>6774</v>
      </c>
      <c r="S93" s="137" t="s">
        <v>44</v>
      </c>
    </row>
    <row r="94" spans="1:19" x14ac:dyDescent="0.25">
      <c r="A94" s="73">
        <v>83</v>
      </c>
      <c r="B94" s="64" t="s">
        <v>171</v>
      </c>
      <c r="C94" s="73">
        <v>1951</v>
      </c>
      <c r="D94" s="74"/>
      <c r="E94" s="74" t="s">
        <v>27</v>
      </c>
      <c r="F94" s="74">
        <v>3</v>
      </c>
      <c r="G94" s="74">
        <v>3</v>
      </c>
      <c r="H94" s="75">
        <v>2112</v>
      </c>
      <c r="I94" s="75">
        <v>1945.5</v>
      </c>
      <c r="J94" s="75">
        <f>I94-198</f>
        <v>1747.5</v>
      </c>
      <c r="K94" s="76">
        <v>79</v>
      </c>
      <c r="L94" s="66">
        <v>2253297</v>
      </c>
      <c r="M94" s="136">
        <v>0</v>
      </c>
      <c r="N94" s="136">
        <v>0</v>
      </c>
      <c r="O94" s="136">
        <v>0</v>
      </c>
      <c r="P94" s="77">
        <v>2253297</v>
      </c>
      <c r="Q94" s="72">
        <f t="shared" si="2"/>
        <v>1158.2097147262914</v>
      </c>
      <c r="R94" s="73">
        <v>6774</v>
      </c>
      <c r="S94" s="137" t="s">
        <v>44</v>
      </c>
    </row>
    <row r="95" spans="1:19" x14ac:dyDescent="0.25">
      <c r="A95" s="73">
        <v>84</v>
      </c>
      <c r="B95" s="64" t="s">
        <v>155</v>
      </c>
      <c r="C95" s="73">
        <v>1959</v>
      </c>
      <c r="D95" s="74"/>
      <c r="E95" s="74" t="s">
        <v>27</v>
      </c>
      <c r="F95" s="74">
        <v>2</v>
      </c>
      <c r="G95" s="74">
        <v>1</v>
      </c>
      <c r="H95" s="75">
        <v>301.10000000000002</v>
      </c>
      <c r="I95" s="75">
        <v>278.2</v>
      </c>
      <c r="J95" s="75">
        <f>278.2-37.9</f>
        <v>240.29999999999998</v>
      </c>
      <c r="K95" s="76">
        <v>17</v>
      </c>
      <c r="L95" s="66">
        <v>301122</v>
      </c>
      <c r="M95" s="136">
        <v>0</v>
      </c>
      <c r="N95" s="136">
        <v>0</v>
      </c>
      <c r="O95" s="136">
        <v>0</v>
      </c>
      <c r="P95" s="77">
        <v>301122</v>
      </c>
      <c r="Q95" s="72">
        <f t="shared" si="2"/>
        <v>1082.3939611790079</v>
      </c>
      <c r="R95" s="73">
        <v>6774</v>
      </c>
      <c r="S95" s="137" t="s">
        <v>44</v>
      </c>
    </row>
    <row r="96" spans="1:19" x14ac:dyDescent="0.25">
      <c r="A96" s="73">
        <v>85</v>
      </c>
      <c r="B96" s="65" t="s">
        <v>83</v>
      </c>
      <c r="C96" s="73">
        <v>1971</v>
      </c>
      <c r="D96" s="74"/>
      <c r="E96" s="74" t="s">
        <v>27</v>
      </c>
      <c r="F96" s="74">
        <v>5</v>
      </c>
      <c r="G96" s="74">
        <v>4</v>
      </c>
      <c r="H96" s="75">
        <f>3133.4+285.6</f>
        <v>3419</v>
      </c>
      <c r="I96" s="75">
        <v>3133.4</v>
      </c>
      <c r="J96" s="75">
        <f>2845.3-162.1</f>
        <v>2683.2000000000003</v>
      </c>
      <c r="K96" s="76">
        <v>183</v>
      </c>
      <c r="L96" s="66">
        <v>1197250.23</v>
      </c>
      <c r="M96" s="136">
        <v>0</v>
      </c>
      <c r="N96" s="136">
        <v>0</v>
      </c>
      <c r="O96" s="136">
        <v>0</v>
      </c>
      <c r="P96" s="77">
        <v>1197250.23</v>
      </c>
      <c r="Q96" s="72">
        <f t="shared" si="2"/>
        <v>382.09300759558306</v>
      </c>
      <c r="R96" s="73">
        <v>6774</v>
      </c>
      <c r="S96" s="137" t="s">
        <v>44</v>
      </c>
    </row>
    <row r="97" spans="1:19" x14ac:dyDescent="0.25">
      <c r="A97" s="73">
        <v>86</v>
      </c>
      <c r="B97" s="64" t="s">
        <v>149</v>
      </c>
      <c r="C97" s="73">
        <v>1986</v>
      </c>
      <c r="D97" s="74"/>
      <c r="E97" s="74" t="s">
        <v>26</v>
      </c>
      <c r="F97" s="74">
        <v>9</v>
      </c>
      <c r="G97" s="74">
        <v>1</v>
      </c>
      <c r="H97" s="75">
        <v>2303.9</v>
      </c>
      <c r="I97" s="75">
        <v>2004.4</v>
      </c>
      <c r="J97" s="75">
        <f>I97-536.1</f>
        <v>1468.3000000000002</v>
      </c>
      <c r="K97" s="76">
        <v>73</v>
      </c>
      <c r="L97" s="66">
        <v>771330</v>
      </c>
      <c r="M97" s="136">
        <v>0</v>
      </c>
      <c r="N97" s="136">
        <v>0</v>
      </c>
      <c r="O97" s="136">
        <v>0</v>
      </c>
      <c r="P97" s="77">
        <v>771330</v>
      </c>
      <c r="Q97" s="72">
        <f t="shared" si="2"/>
        <v>384.81839952105366</v>
      </c>
      <c r="R97" s="73">
        <v>6774</v>
      </c>
      <c r="S97" s="137" t="s">
        <v>44</v>
      </c>
    </row>
    <row r="98" spans="1:19" x14ac:dyDescent="0.25">
      <c r="A98" s="73">
        <v>87</v>
      </c>
      <c r="B98" s="64" t="s">
        <v>64</v>
      </c>
      <c r="C98" s="73">
        <v>1963</v>
      </c>
      <c r="D98" s="74"/>
      <c r="E98" s="74" t="s">
        <v>27</v>
      </c>
      <c r="F98" s="74">
        <v>4</v>
      </c>
      <c r="G98" s="74">
        <v>4</v>
      </c>
      <c r="H98" s="75">
        <v>2478.6</v>
      </c>
      <c r="I98" s="75">
        <v>2549.4</v>
      </c>
      <c r="J98" s="75">
        <v>2546.3000000000002</v>
      </c>
      <c r="K98" s="76">
        <v>108</v>
      </c>
      <c r="L98" s="66">
        <v>2433324</v>
      </c>
      <c r="M98" s="136">
        <v>0</v>
      </c>
      <c r="N98" s="136">
        <v>0</v>
      </c>
      <c r="O98" s="136">
        <v>0</v>
      </c>
      <c r="P98" s="77">
        <v>2433324</v>
      </c>
      <c r="Q98" s="72">
        <f t="shared" si="2"/>
        <v>954.46928689103311</v>
      </c>
      <c r="R98" s="73">
        <v>6774</v>
      </c>
      <c r="S98" s="137" t="s">
        <v>44</v>
      </c>
    </row>
    <row r="99" spans="1:19" x14ac:dyDescent="0.25">
      <c r="A99" s="73">
        <v>88</v>
      </c>
      <c r="B99" s="65" t="s">
        <v>70</v>
      </c>
      <c r="C99" s="73">
        <v>1961</v>
      </c>
      <c r="D99" s="74"/>
      <c r="E99" s="74" t="s">
        <v>27</v>
      </c>
      <c r="F99" s="74">
        <v>5</v>
      </c>
      <c r="G99" s="74">
        <v>4</v>
      </c>
      <c r="H99" s="75">
        <v>3226.1</v>
      </c>
      <c r="I99" s="75">
        <v>3140.3</v>
      </c>
      <c r="J99" s="75">
        <v>3140.3</v>
      </c>
      <c r="K99" s="76">
        <v>147</v>
      </c>
      <c r="L99" s="66">
        <v>3297092</v>
      </c>
      <c r="M99" s="136">
        <v>0</v>
      </c>
      <c r="N99" s="136">
        <v>0</v>
      </c>
      <c r="O99" s="136">
        <v>0</v>
      </c>
      <c r="P99" s="77">
        <v>3297092</v>
      </c>
      <c r="Q99" s="72">
        <f t="shared" si="2"/>
        <v>1049.9289876763366</v>
      </c>
      <c r="R99" s="73">
        <v>6774</v>
      </c>
      <c r="S99" s="137" t="s">
        <v>44</v>
      </c>
    </row>
    <row r="100" spans="1:19" x14ac:dyDescent="0.25">
      <c r="A100" s="73">
        <v>89</v>
      </c>
      <c r="B100" s="64" t="s">
        <v>178</v>
      </c>
      <c r="C100" s="73">
        <v>1975</v>
      </c>
      <c r="D100" s="74"/>
      <c r="E100" s="74" t="s">
        <v>26</v>
      </c>
      <c r="F100" s="74">
        <v>5</v>
      </c>
      <c r="G100" s="74">
        <v>6</v>
      </c>
      <c r="H100" s="75">
        <v>4995.5</v>
      </c>
      <c r="I100" s="75">
        <v>4547</v>
      </c>
      <c r="J100" s="75">
        <f>4516.3-199.1</f>
        <v>4317.2</v>
      </c>
      <c r="K100" s="76">
        <v>147</v>
      </c>
      <c r="L100" s="66">
        <v>2294529</v>
      </c>
      <c r="M100" s="136">
        <v>0</v>
      </c>
      <c r="N100" s="136">
        <v>0</v>
      </c>
      <c r="O100" s="136">
        <v>0</v>
      </c>
      <c r="P100" s="77">
        <v>2294529</v>
      </c>
      <c r="Q100" s="72">
        <f t="shared" si="2"/>
        <v>504.62480756542777</v>
      </c>
      <c r="R100" s="73">
        <v>6774</v>
      </c>
      <c r="S100" s="137" t="s">
        <v>44</v>
      </c>
    </row>
    <row r="101" spans="1:19" x14ac:dyDescent="0.25">
      <c r="A101" s="73">
        <v>90</v>
      </c>
      <c r="B101" s="64" t="s">
        <v>120</v>
      </c>
      <c r="C101" s="73">
        <v>1958</v>
      </c>
      <c r="D101" s="74"/>
      <c r="E101" s="74" t="s">
        <v>27</v>
      </c>
      <c r="F101" s="74">
        <v>2</v>
      </c>
      <c r="G101" s="74">
        <v>1</v>
      </c>
      <c r="H101" s="75">
        <v>447.8</v>
      </c>
      <c r="I101" s="75">
        <v>407.4</v>
      </c>
      <c r="J101" s="75">
        <v>407.4</v>
      </c>
      <c r="K101" s="76">
        <v>21</v>
      </c>
      <c r="L101" s="66">
        <v>886559</v>
      </c>
      <c r="M101" s="136">
        <v>0</v>
      </c>
      <c r="N101" s="136">
        <v>0</v>
      </c>
      <c r="O101" s="136">
        <v>0</v>
      </c>
      <c r="P101" s="77">
        <v>886559</v>
      </c>
      <c r="Q101" s="72">
        <f t="shared" si="2"/>
        <v>2176.1389297987239</v>
      </c>
      <c r="R101" s="73">
        <v>6774</v>
      </c>
      <c r="S101" s="137" t="s">
        <v>44</v>
      </c>
    </row>
    <row r="102" spans="1:19" x14ac:dyDescent="0.25">
      <c r="A102" s="73">
        <v>91</v>
      </c>
      <c r="B102" s="65" t="s">
        <v>97</v>
      </c>
      <c r="C102" s="73">
        <v>1955</v>
      </c>
      <c r="D102" s="74"/>
      <c r="E102" s="74" t="s">
        <v>27</v>
      </c>
      <c r="F102" s="74">
        <v>2</v>
      </c>
      <c r="G102" s="74">
        <v>2</v>
      </c>
      <c r="H102" s="75">
        <f>894.5+87.2</f>
        <v>981.7</v>
      </c>
      <c r="I102" s="75">
        <v>894.5</v>
      </c>
      <c r="J102" s="75">
        <f>I102-50.2</f>
        <v>844.3</v>
      </c>
      <c r="K102" s="76">
        <v>37</v>
      </c>
      <c r="L102" s="66">
        <v>1137886</v>
      </c>
      <c r="M102" s="136">
        <v>0</v>
      </c>
      <c r="N102" s="136">
        <v>0</v>
      </c>
      <c r="O102" s="136">
        <v>0</v>
      </c>
      <c r="P102" s="77">
        <v>1137886</v>
      </c>
      <c r="Q102" s="72">
        <f t="shared" si="2"/>
        <v>1272.0916713247625</v>
      </c>
      <c r="R102" s="73">
        <v>6774</v>
      </c>
      <c r="S102" s="137" t="s">
        <v>44</v>
      </c>
    </row>
    <row r="103" spans="1:19" x14ac:dyDescent="0.25">
      <c r="A103" s="73">
        <v>92</v>
      </c>
      <c r="B103" s="64" t="s">
        <v>129</v>
      </c>
      <c r="C103" s="73">
        <v>1959</v>
      </c>
      <c r="D103" s="74"/>
      <c r="E103" s="74" t="s">
        <v>27</v>
      </c>
      <c r="F103" s="74">
        <v>3</v>
      </c>
      <c r="G103" s="74">
        <v>2</v>
      </c>
      <c r="H103" s="75">
        <v>807.1</v>
      </c>
      <c r="I103" s="75">
        <v>737.3</v>
      </c>
      <c r="J103" s="75">
        <f>737.3</f>
        <v>737.3</v>
      </c>
      <c r="K103" s="76">
        <v>28</v>
      </c>
      <c r="L103" s="66">
        <v>1018040.92</v>
      </c>
      <c r="M103" s="136">
        <v>0</v>
      </c>
      <c r="N103" s="136">
        <v>0</v>
      </c>
      <c r="O103" s="136">
        <v>0</v>
      </c>
      <c r="P103" s="77">
        <v>1018040.92</v>
      </c>
      <c r="Q103" s="72">
        <f t="shared" si="2"/>
        <v>1380.7689136036893</v>
      </c>
      <c r="R103" s="73">
        <v>6774</v>
      </c>
      <c r="S103" s="137" t="s">
        <v>44</v>
      </c>
    </row>
    <row r="104" spans="1:19" x14ac:dyDescent="0.25">
      <c r="A104" s="73">
        <v>93</v>
      </c>
      <c r="B104" s="64" t="s">
        <v>202</v>
      </c>
      <c r="C104" s="73">
        <v>1966</v>
      </c>
      <c r="D104" s="74"/>
      <c r="E104" s="74" t="s">
        <v>27</v>
      </c>
      <c r="F104" s="74">
        <v>5</v>
      </c>
      <c r="G104" s="74">
        <v>3</v>
      </c>
      <c r="H104" s="75">
        <v>2817.5</v>
      </c>
      <c r="I104" s="75">
        <v>2613.5</v>
      </c>
      <c r="J104" s="75">
        <f>2613.5-363.8</f>
        <v>2249.6999999999998</v>
      </c>
      <c r="K104" s="76">
        <v>120</v>
      </c>
      <c r="L104" s="66">
        <v>2694957</v>
      </c>
      <c r="M104" s="136">
        <v>0</v>
      </c>
      <c r="N104" s="136">
        <v>0</v>
      </c>
      <c r="O104" s="136">
        <v>0</v>
      </c>
      <c r="P104" s="77">
        <v>2694957</v>
      </c>
      <c r="Q104" s="72">
        <f t="shared" si="2"/>
        <v>1031.1677826669218</v>
      </c>
      <c r="R104" s="73">
        <v>6774</v>
      </c>
      <c r="S104" s="137" t="s">
        <v>44</v>
      </c>
    </row>
    <row r="105" spans="1:19" x14ac:dyDescent="0.25">
      <c r="A105" s="73">
        <v>94</v>
      </c>
      <c r="B105" s="64" t="s">
        <v>145</v>
      </c>
      <c r="C105" s="73">
        <v>1959</v>
      </c>
      <c r="D105" s="74"/>
      <c r="E105" s="74" t="s">
        <v>27</v>
      </c>
      <c r="F105" s="74">
        <v>4</v>
      </c>
      <c r="G105" s="74">
        <v>5</v>
      </c>
      <c r="H105" s="75">
        <f>3080.34+403.4</f>
        <v>3483.7400000000002</v>
      </c>
      <c r="I105" s="75">
        <f>2604.64+475.7</f>
        <v>3080.3399999999997</v>
      </c>
      <c r="J105" s="75">
        <f>2604.64-130.46</f>
        <v>2474.1799999999998</v>
      </c>
      <c r="K105" s="76">
        <v>89</v>
      </c>
      <c r="L105" s="66">
        <v>2542298.37</v>
      </c>
      <c r="M105" s="136">
        <v>0</v>
      </c>
      <c r="N105" s="136">
        <v>0</v>
      </c>
      <c r="O105" s="136">
        <v>0</v>
      </c>
      <c r="P105" s="77">
        <v>2542298.37</v>
      </c>
      <c r="Q105" s="72">
        <f t="shared" si="2"/>
        <v>825.33044079549677</v>
      </c>
      <c r="R105" s="73">
        <v>6774</v>
      </c>
      <c r="S105" s="137" t="s">
        <v>44</v>
      </c>
    </row>
    <row r="106" spans="1:19" x14ac:dyDescent="0.25">
      <c r="A106" s="73">
        <v>95</v>
      </c>
      <c r="B106" s="64" t="s">
        <v>135</v>
      </c>
      <c r="C106" s="73">
        <v>1948</v>
      </c>
      <c r="D106" s="74"/>
      <c r="E106" s="74" t="s">
        <v>219</v>
      </c>
      <c r="F106" s="74">
        <v>2</v>
      </c>
      <c r="G106" s="74">
        <v>3</v>
      </c>
      <c r="H106" s="75">
        <v>1281.7</v>
      </c>
      <c r="I106" s="75">
        <v>1221.7</v>
      </c>
      <c r="J106" s="75">
        <v>1221.7</v>
      </c>
      <c r="K106" s="76">
        <v>53</v>
      </c>
      <c r="L106" s="66">
        <v>2347478</v>
      </c>
      <c r="M106" s="136">
        <v>0</v>
      </c>
      <c r="N106" s="136">
        <v>0</v>
      </c>
      <c r="O106" s="136">
        <v>0</v>
      </c>
      <c r="P106" s="77">
        <v>2347478</v>
      </c>
      <c r="Q106" s="72">
        <f t="shared" si="2"/>
        <v>1921.4848162396659</v>
      </c>
      <c r="R106" s="73">
        <v>6774</v>
      </c>
      <c r="S106" s="137" t="s">
        <v>44</v>
      </c>
    </row>
    <row r="107" spans="1:19" x14ac:dyDescent="0.25">
      <c r="A107" s="73">
        <v>96</v>
      </c>
      <c r="B107" s="65" t="s">
        <v>99</v>
      </c>
      <c r="C107" s="73">
        <v>1959</v>
      </c>
      <c r="D107" s="74"/>
      <c r="E107" s="74" t="s">
        <v>27</v>
      </c>
      <c r="F107" s="74">
        <v>2</v>
      </c>
      <c r="G107" s="74">
        <v>1</v>
      </c>
      <c r="H107" s="75">
        <f>331.4+25.3</f>
        <v>356.7</v>
      </c>
      <c r="I107" s="75">
        <v>331.4</v>
      </c>
      <c r="J107" s="75">
        <f>I107-117.1</f>
        <v>214.29999999999998</v>
      </c>
      <c r="K107" s="76">
        <v>26</v>
      </c>
      <c r="L107" s="66">
        <v>672819</v>
      </c>
      <c r="M107" s="136">
        <v>0</v>
      </c>
      <c r="N107" s="136">
        <v>0</v>
      </c>
      <c r="O107" s="136">
        <v>0</v>
      </c>
      <c r="P107" s="77">
        <v>672819</v>
      </c>
      <c r="Q107" s="72">
        <f t="shared" si="2"/>
        <v>2030.2323476161739</v>
      </c>
      <c r="R107" s="73">
        <v>6774</v>
      </c>
      <c r="S107" s="137" t="s">
        <v>44</v>
      </c>
    </row>
    <row r="108" spans="1:19" x14ac:dyDescent="0.25">
      <c r="A108" s="73">
        <v>97</v>
      </c>
      <c r="B108" s="65" t="s">
        <v>108</v>
      </c>
      <c r="C108" s="73">
        <v>1959</v>
      </c>
      <c r="D108" s="74"/>
      <c r="E108" s="74" t="s">
        <v>27</v>
      </c>
      <c r="F108" s="74">
        <v>2</v>
      </c>
      <c r="G108" s="74">
        <v>2</v>
      </c>
      <c r="H108" s="75">
        <f>743.3+71</f>
        <v>814.3</v>
      </c>
      <c r="I108" s="75">
        <v>743.3</v>
      </c>
      <c r="J108" s="75">
        <v>743.3</v>
      </c>
      <c r="K108" s="76">
        <v>46</v>
      </c>
      <c r="L108" s="66">
        <v>1340000</v>
      </c>
      <c r="M108" s="136">
        <v>0</v>
      </c>
      <c r="N108" s="136">
        <v>0</v>
      </c>
      <c r="O108" s="136">
        <v>0</v>
      </c>
      <c r="P108" s="77">
        <v>1340000</v>
      </c>
      <c r="Q108" s="72">
        <f t="shared" ref="Q108:Q139" si="3">L108/I108</f>
        <v>1802.7714247275665</v>
      </c>
      <c r="R108" s="73">
        <v>6774</v>
      </c>
      <c r="S108" s="137" t="s">
        <v>44</v>
      </c>
    </row>
    <row r="109" spans="1:19" x14ac:dyDescent="0.25">
      <c r="A109" s="73">
        <v>98</v>
      </c>
      <c r="B109" s="65" t="s">
        <v>223</v>
      </c>
      <c r="C109" s="73">
        <v>1968</v>
      </c>
      <c r="D109" s="74"/>
      <c r="E109" s="74" t="s">
        <v>27</v>
      </c>
      <c r="F109" s="74">
        <v>5</v>
      </c>
      <c r="G109" s="74">
        <v>6</v>
      </c>
      <c r="H109" s="75">
        <v>4924.7</v>
      </c>
      <c r="I109" s="75">
        <v>4442.6400000000003</v>
      </c>
      <c r="J109" s="66">
        <v>3930.84</v>
      </c>
      <c r="K109" s="76">
        <v>252</v>
      </c>
      <c r="L109" s="66">
        <v>4441828</v>
      </c>
      <c r="M109" s="136">
        <v>0</v>
      </c>
      <c r="N109" s="136">
        <v>0</v>
      </c>
      <c r="O109" s="136">
        <v>0</v>
      </c>
      <c r="P109" s="77">
        <v>4441828</v>
      </c>
      <c r="Q109" s="72">
        <f t="shared" si="3"/>
        <v>999.81722579367215</v>
      </c>
      <c r="R109" s="73">
        <v>6774</v>
      </c>
      <c r="S109" s="137" t="s">
        <v>44</v>
      </c>
    </row>
    <row r="110" spans="1:19" x14ac:dyDescent="0.25">
      <c r="A110" s="73">
        <v>99</v>
      </c>
      <c r="B110" s="64" t="s">
        <v>190</v>
      </c>
      <c r="C110" s="73">
        <v>1982</v>
      </c>
      <c r="D110" s="74"/>
      <c r="E110" s="74" t="s">
        <v>26</v>
      </c>
      <c r="F110" s="74">
        <v>9</v>
      </c>
      <c r="G110" s="74">
        <v>2</v>
      </c>
      <c r="H110" s="75">
        <v>7008.7</v>
      </c>
      <c r="I110" s="75">
        <v>6649.2</v>
      </c>
      <c r="J110" s="75">
        <f>6591.2-655.1</f>
        <v>5936.0999999999995</v>
      </c>
      <c r="K110" s="76">
        <v>240</v>
      </c>
      <c r="L110" s="66">
        <v>3748390</v>
      </c>
      <c r="M110" s="136">
        <v>0</v>
      </c>
      <c r="N110" s="136">
        <v>0</v>
      </c>
      <c r="O110" s="136">
        <v>0</v>
      </c>
      <c r="P110" s="77">
        <v>3748390</v>
      </c>
      <c r="Q110" s="72">
        <f t="shared" si="3"/>
        <v>563.73548697587682</v>
      </c>
      <c r="R110" s="73">
        <v>6774</v>
      </c>
      <c r="S110" s="137" t="s">
        <v>44</v>
      </c>
    </row>
    <row r="111" spans="1:19" x14ac:dyDescent="0.25">
      <c r="A111" s="73">
        <v>100</v>
      </c>
      <c r="B111" s="64" t="s">
        <v>150</v>
      </c>
      <c r="C111" s="73">
        <v>1964</v>
      </c>
      <c r="D111" s="74"/>
      <c r="E111" s="74" t="s">
        <v>27</v>
      </c>
      <c r="F111" s="74">
        <v>5</v>
      </c>
      <c r="G111" s="74">
        <v>3</v>
      </c>
      <c r="H111" s="75">
        <v>2853.7</v>
      </c>
      <c r="I111" s="75">
        <v>2673.6</v>
      </c>
      <c r="J111" s="75">
        <f>2344.5-587.9</f>
        <v>1756.6</v>
      </c>
      <c r="K111" s="76">
        <v>112</v>
      </c>
      <c r="L111" s="66">
        <v>1492412</v>
      </c>
      <c r="M111" s="136">
        <v>0</v>
      </c>
      <c r="N111" s="136">
        <v>0</v>
      </c>
      <c r="O111" s="136">
        <v>0</v>
      </c>
      <c r="P111" s="77">
        <v>1492412</v>
      </c>
      <c r="Q111" s="72">
        <f t="shared" si="3"/>
        <v>558.2031717534411</v>
      </c>
      <c r="R111" s="73">
        <v>6774</v>
      </c>
      <c r="S111" s="137" t="s">
        <v>44</v>
      </c>
    </row>
    <row r="112" spans="1:19" x14ac:dyDescent="0.25">
      <c r="A112" s="73">
        <v>101</v>
      </c>
      <c r="B112" s="64" t="s">
        <v>72</v>
      </c>
      <c r="C112" s="78">
        <v>1963</v>
      </c>
      <c r="D112" s="74"/>
      <c r="E112" s="74" t="s">
        <v>27</v>
      </c>
      <c r="F112" s="79">
        <v>4</v>
      </c>
      <c r="G112" s="79">
        <v>2</v>
      </c>
      <c r="H112" s="67">
        <v>1382.1</v>
      </c>
      <c r="I112" s="67">
        <v>1272.0999999999999</v>
      </c>
      <c r="J112" s="67">
        <f>1272.1-45.5</f>
        <v>1226.5999999999999</v>
      </c>
      <c r="K112" s="80">
        <v>53</v>
      </c>
      <c r="L112" s="66">
        <v>1364714</v>
      </c>
      <c r="M112" s="136">
        <v>0</v>
      </c>
      <c r="N112" s="136">
        <v>0</v>
      </c>
      <c r="O112" s="136">
        <v>0</v>
      </c>
      <c r="P112" s="77">
        <v>1364714</v>
      </c>
      <c r="Q112" s="72">
        <f t="shared" si="3"/>
        <v>1072.8040248408145</v>
      </c>
      <c r="R112" s="73">
        <v>6774</v>
      </c>
      <c r="S112" s="137" t="s">
        <v>44</v>
      </c>
    </row>
    <row r="113" spans="1:19" x14ac:dyDescent="0.25">
      <c r="A113" s="73">
        <v>102</v>
      </c>
      <c r="B113" s="64" t="s">
        <v>169</v>
      </c>
      <c r="C113" s="78">
        <v>1959</v>
      </c>
      <c r="D113" s="81"/>
      <c r="E113" s="74" t="s">
        <v>27</v>
      </c>
      <c r="F113" s="79">
        <v>2</v>
      </c>
      <c r="G113" s="79">
        <v>2</v>
      </c>
      <c r="H113" s="67">
        <v>709.6</v>
      </c>
      <c r="I113" s="67">
        <v>630.79999999999995</v>
      </c>
      <c r="J113" s="67">
        <f>630.8-132.6</f>
        <v>498.19999999999993</v>
      </c>
      <c r="K113" s="80">
        <v>31</v>
      </c>
      <c r="L113" s="66">
        <v>193826</v>
      </c>
      <c r="M113" s="136">
        <v>0</v>
      </c>
      <c r="N113" s="136">
        <v>0</v>
      </c>
      <c r="O113" s="136">
        <v>0</v>
      </c>
      <c r="P113" s="77">
        <v>193826</v>
      </c>
      <c r="Q113" s="72">
        <f t="shared" si="3"/>
        <v>307.27013316423592</v>
      </c>
      <c r="R113" s="73">
        <v>6774</v>
      </c>
      <c r="S113" s="137" t="s">
        <v>44</v>
      </c>
    </row>
    <row r="114" spans="1:19" ht="16.5" customHeight="1" x14ac:dyDescent="0.25">
      <c r="A114" s="73">
        <v>103</v>
      </c>
      <c r="B114" s="65" t="s">
        <v>79</v>
      </c>
      <c r="C114" s="78">
        <v>1961</v>
      </c>
      <c r="D114" s="81"/>
      <c r="E114" s="74" t="s">
        <v>27</v>
      </c>
      <c r="F114" s="79">
        <v>5</v>
      </c>
      <c r="G114" s="79">
        <v>3</v>
      </c>
      <c r="H114" s="67">
        <f>2775.7+220.5</f>
        <v>2996.2</v>
      </c>
      <c r="I114" s="67">
        <f>2510.6+262.4</f>
        <v>2773</v>
      </c>
      <c r="J114" s="67">
        <f>2510.6-63.1</f>
        <v>2447.5</v>
      </c>
      <c r="K114" s="80">
        <v>81</v>
      </c>
      <c r="L114" s="66">
        <v>402530.2</v>
      </c>
      <c r="M114" s="136">
        <v>0</v>
      </c>
      <c r="N114" s="136">
        <v>0</v>
      </c>
      <c r="O114" s="136">
        <v>0</v>
      </c>
      <c r="P114" s="77">
        <v>402530.2</v>
      </c>
      <c r="Q114" s="72">
        <f t="shared" si="3"/>
        <v>145.16054814280562</v>
      </c>
      <c r="R114" s="73">
        <v>6774</v>
      </c>
      <c r="S114" s="137" t="s">
        <v>44</v>
      </c>
    </row>
    <row r="115" spans="1:19" x14ac:dyDescent="0.25">
      <c r="A115" s="73">
        <v>104</v>
      </c>
      <c r="B115" s="64" t="s">
        <v>138</v>
      </c>
      <c r="C115" s="78">
        <v>1950</v>
      </c>
      <c r="D115" s="81"/>
      <c r="E115" s="74" t="s">
        <v>27</v>
      </c>
      <c r="F115" s="79">
        <v>2</v>
      </c>
      <c r="G115" s="79">
        <v>2</v>
      </c>
      <c r="H115" s="67">
        <v>814.8</v>
      </c>
      <c r="I115" s="67">
        <v>732.9</v>
      </c>
      <c r="J115" s="67">
        <v>732.9</v>
      </c>
      <c r="K115" s="80">
        <v>34</v>
      </c>
      <c r="L115" s="66">
        <v>1612780</v>
      </c>
      <c r="M115" s="136">
        <v>0</v>
      </c>
      <c r="N115" s="136">
        <v>0</v>
      </c>
      <c r="O115" s="136">
        <v>0</v>
      </c>
      <c r="P115" s="77">
        <v>1612780</v>
      </c>
      <c r="Q115" s="72">
        <f t="shared" si="3"/>
        <v>2200.5457770500752</v>
      </c>
      <c r="R115" s="73">
        <v>6774</v>
      </c>
      <c r="S115" s="137" t="s">
        <v>44</v>
      </c>
    </row>
    <row r="116" spans="1:19" x14ac:dyDescent="0.25">
      <c r="A116" s="73">
        <v>105</v>
      </c>
      <c r="B116" s="65" t="s">
        <v>208</v>
      </c>
      <c r="C116" s="78">
        <v>1951</v>
      </c>
      <c r="D116" s="74"/>
      <c r="E116" s="74" t="s">
        <v>27</v>
      </c>
      <c r="F116" s="79">
        <v>2</v>
      </c>
      <c r="G116" s="79">
        <v>1</v>
      </c>
      <c r="H116" s="67">
        <v>451</v>
      </c>
      <c r="I116" s="67">
        <v>403.5</v>
      </c>
      <c r="J116" s="67">
        <f>403.5-97.8</f>
        <v>305.7</v>
      </c>
      <c r="K116" s="80">
        <v>24</v>
      </c>
      <c r="L116" s="66">
        <v>766539</v>
      </c>
      <c r="M116" s="136">
        <v>0</v>
      </c>
      <c r="N116" s="136">
        <v>0</v>
      </c>
      <c r="O116" s="136">
        <v>0</v>
      </c>
      <c r="P116" s="77">
        <v>766539</v>
      </c>
      <c r="Q116" s="72">
        <f t="shared" si="3"/>
        <v>1899.724907063197</v>
      </c>
      <c r="R116" s="73">
        <v>6774</v>
      </c>
      <c r="S116" s="137" t="s">
        <v>44</v>
      </c>
    </row>
    <row r="117" spans="1:19" x14ac:dyDescent="0.25">
      <c r="A117" s="73">
        <v>106</v>
      </c>
      <c r="B117" s="64" t="s">
        <v>209</v>
      </c>
      <c r="C117" s="78">
        <v>1954</v>
      </c>
      <c r="D117" s="74"/>
      <c r="E117" s="74" t="s">
        <v>27</v>
      </c>
      <c r="F117" s="82" t="s">
        <v>226</v>
      </c>
      <c r="G117" s="79">
        <v>10</v>
      </c>
      <c r="H117" s="67">
        <v>11218.8</v>
      </c>
      <c r="I117" s="67">
        <f>7722.1+2530</f>
        <v>10252.1</v>
      </c>
      <c r="J117" s="67">
        <v>7616.6</v>
      </c>
      <c r="K117" s="80">
        <v>238</v>
      </c>
      <c r="L117" s="66">
        <v>7892437</v>
      </c>
      <c r="M117" s="136">
        <v>0</v>
      </c>
      <c r="N117" s="136">
        <v>0</v>
      </c>
      <c r="O117" s="136">
        <v>0</v>
      </c>
      <c r="P117" s="77">
        <v>7892437</v>
      </c>
      <c r="Q117" s="72">
        <f t="shared" si="3"/>
        <v>769.83613113410911</v>
      </c>
      <c r="R117" s="73">
        <v>6774</v>
      </c>
      <c r="S117" s="137" t="s">
        <v>44</v>
      </c>
    </row>
    <row r="118" spans="1:19" x14ac:dyDescent="0.25">
      <c r="A118" s="73">
        <v>107</v>
      </c>
      <c r="B118" s="64" t="s">
        <v>199</v>
      </c>
      <c r="C118" s="78">
        <v>1971</v>
      </c>
      <c r="D118" s="74"/>
      <c r="E118" s="74" t="s">
        <v>26</v>
      </c>
      <c r="F118" s="79">
        <v>5</v>
      </c>
      <c r="G118" s="79">
        <v>4</v>
      </c>
      <c r="H118" s="67">
        <v>3551.5</v>
      </c>
      <c r="I118" s="67">
        <v>2581.35</v>
      </c>
      <c r="J118" s="67">
        <f>2581.35-178.5</f>
        <v>2402.85</v>
      </c>
      <c r="K118" s="80">
        <v>123</v>
      </c>
      <c r="L118" s="66">
        <v>1549577</v>
      </c>
      <c r="M118" s="136">
        <v>0</v>
      </c>
      <c r="N118" s="136">
        <v>0</v>
      </c>
      <c r="O118" s="136">
        <v>0</v>
      </c>
      <c r="P118" s="77">
        <v>1549577</v>
      </c>
      <c r="Q118" s="72">
        <f t="shared" si="3"/>
        <v>600.29713134600115</v>
      </c>
      <c r="R118" s="73">
        <v>6774</v>
      </c>
      <c r="S118" s="137" t="s">
        <v>44</v>
      </c>
    </row>
    <row r="119" spans="1:19" x14ac:dyDescent="0.25">
      <c r="A119" s="73">
        <v>108</v>
      </c>
      <c r="B119" s="64" t="s">
        <v>156</v>
      </c>
      <c r="C119" s="78">
        <v>1970</v>
      </c>
      <c r="D119" s="74"/>
      <c r="E119" s="74" t="s">
        <v>27</v>
      </c>
      <c r="F119" s="79">
        <v>5</v>
      </c>
      <c r="G119" s="79">
        <v>4</v>
      </c>
      <c r="H119" s="67">
        <v>3447.2</v>
      </c>
      <c r="I119" s="67">
        <v>3282</v>
      </c>
      <c r="J119" s="67">
        <f>3044.4-197.3</f>
        <v>2847.1</v>
      </c>
      <c r="K119" s="80">
        <v>110</v>
      </c>
      <c r="L119" s="83">
        <v>1544359.54</v>
      </c>
      <c r="M119" s="136">
        <v>0</v>
      </c>
      <c r="N119" s="136">
        <v>0</v>
      </c>
      <c r="O119" s="136">
        <v>0</v>
      </c>
      <c r="P119" s="77">
        <v>1544359.54</v>
      </c>
      <c r="Q119" s="72">
        <f t="shared" si="3"/>
        <v>470.5543997562462</v>
      </c>
      <c r="R119" s="73">
        <v>6774</v>
      </c>
      <c r="S119" s="137" t="s">
        <v>44</v>
      </c>
    </row>
    <row r="120" spans="1:19" x14ac:dyDescent="0.25">
      <c r="A120" s="73">
        <v>109</v>
      </c>
      <c r="B120" s="64" t="s">
        <v>173</v>
      </c>
      <c r="C120" s="78">
        <v>1957</v>
      </c>
      <c r="D120" s="74"/>
      <c r="E120" s="74" t="s">
        <v>27</v>
      </c>
      <c r="F120" s="79">
        <v>4</v>
      </c>
      <c r="G120" s="79">
        <v>4</v>
      </c>
      <c r="H120" s="67">
        <v>3135.2</v>
      </c>
      <c r="I120" s="67">
        <v>2702.3</v>
      </c>
      <c r="J120" s="67">
        <f>2580.3-39.91</f>
        <v>2540.3900000000003</v>
      </c>
      <c r="K120" s="80">
        <v>79</v>
      </c>
      <c r="L120" s="83">
        <v>3045081</v>
      </c>
      <c r="M120" s="136">
        <v>0</v>
      </c>
      <c r="N120" s="136">
        <v>0</v>
      </c>
      <c r="O120" s="136">
        <v>0</v>
      </c>
      <c r="P120" s="77">
        <v>3045081</v>
      </c>
      <c r="Q120" s="72">
        <f t="shared" si="3"/>
        <v>1126.8478703326796</v>
      </c>
      <c r="R120" s="73">
        <v>6774</v>
      </c>
      <c r="S120" s="137" t="s">
        <v>44</v>
      </c>
    </row>
    <row r="121" spans="1:19" x14ac:dyDescent="0.25">
      <c r="A121" s="73">
        <v>110</v>
      </c>
      <c r="B121" s="64" t="s">
        <v>117</v>
      </c>
      <c r="C121" s="78">
        <v>1960</v>
      </c>
      <c r="D121" s="74"/>
      <c r="E121" s="74" t="s">
        <v>27</v>
      </c>
      <c r="F121" s="79">
        <v>2</v>
      </c>
      <c r="G121" s="79">
        <v>2</v>
      </c>
      <c r="H121" s="67">
        <v>284.60000000000002</v>
      </c>
      <c r="I121" s="67">
        <v>251.8</v>
      </c>
      <c r="J121" s="67">
        <v>251.8</v>
      </c>
      <c r="K121" s="80">
        <v>18</v>
      </c>
      <c r="L121" s="83">
        <v>517739</v>
      </c>
      <c r="M121" s="136">
        <v>0</v>
      </c>
      <c r="N121" s="136">
        <v>0</v>
      </c>
      <c r="O121" s="136">
        <v>0</v>
      </c>
      <c r="P121" s="77">
        <v>517739</v>
      </c>
      <c r="Q121" s="72">
        <f t="shared" si="3"/>
        <v>2056.1517077045273</v>
      </c>
      <c r="R121" s="73">
        <v>6774</v>
      </c>
      <c r="S121" s="137" t="s">
        <v>44</v>
      </c>
    </row>
    <row r="122" spans="1:19" x14ac:dyDescent="0.25">
      <c r="A122" s="73">
        <v>111</v>
      </c>
      <c r="B122" s="64" t="s">
        <v>260</v>
      </c>
      <c r="C122" s="78">
        <v>1959</v>
      </c>
      <c r="D122" s="74"/>
      <c r="E122" s="74" t="s">
        <v>27</v>
      </c>
      <c r="F122" s="79">
        <v>4</v>
      </c>
      <c r="G122" s="79">
        <v>4</v>
      </c>
      <c r="H122" s="67">
        <v>2847.5</v>
      </c>
      <c r="I122" s="67">
        <v>2284.5</v>
      </c>
      <c r="J122" s="67">
        <v>2284.5</v>
      </c>
      <c r="K122" s="80">
        <v>78</v>
      </c>
      <c r="L122" s="83">
        <v>2421596</v>
      </c>
      <c r="M122" s="136">
        <v>0</v>
      </c>
      <c r="N122" s="136">
        <v>0</v>
      </c>
      <c r="O122" s="136">
        <v>0</v>
      </c>
      <c r="P122" s="77">
        <v>2421596</v>
      </c>
      <c r="Q122" s="72">
        <f t="shared" si="3"/>
        <v>1060.0113810461808</v>
      </c>
      <c r="R122" s="73">
        <v>6774</v>
      </c>
      <c r="S122" s="137" t="s">
        <v>44</v>
      </c>
    </row>
    <row r="123" spans="1:19" x14ac:dyDescent="0.25">
      <c r="A123" s="73">
        <v>112</v>
      </c>
      <c r="B123" s="64" t="s">
        <v>253</v>
      </c>
      <c r="C123" s="78">
        <v>1984</v>
      </c>
      <c r="D123" s="74"/>
      <c r="E123" s="74" t="s">
        <v>26</v>
      </c>
      <c r="F123" s="79">
        <v>9</v>
      </c>
      <c r="G123" s="79">
        <v>1</v>
      </c>
      <c r="H123" s="67">
        <v>3002.5</v>
      </c>
      <c r="I123" s="67">
        <v>2973</v>
      </c>
      <c r="J123" s="67">
        <f>2973-397.5</f>
        <v>2575.5</v>
      </c>
      <c r="K123" s="80">
        <v>131</v>
      </c>
      <c r="L123" s="83">
        <v>1870046</v>
      </c>
      <c r="M123" s="136">
        <v>0</v>
      </c>
      <c r="N123" s="136">
        <v>0</v>
      </c>
      <c r="O123" s="136">
        <v>0</v>
      </c>
      <c r="P123" s="77">
        <v>1870046</v>
      </c>
      <c r="Q123" s="72">
        <f t="shared" si="3"/>
        <v>629.00975445677761</v>
      </c>
      <c r="R123" s="73">
        <v>6774</v>
      </c>
      <c r="S123" s="137" t="s">
        <v>44</v>
      </c>
    </row>
    <row r="124" spans="1:19" x14ac:dyDescent="0.25">
      <c r="A124" s="73">
        <v>113</v>
      </c>
      <c r="B124" s="64" t="s">
        <v>73</v>
      </c>
      <c r="C124" s="73">
        <v>1973</v>
      </c>
      <c r="D124" s="74"/>
      <c r="E124" s="74" t="s">
        <v>26</v>
      </c>
      <c r="F124" s="74">
        <v>9</v>
      </c>
      <c r="G124" s="74">
        <v>6</v>
      </c>
      <c r="H124" s="75">
        <v>12984.5</v>
      </c>
      <c r="I124" s="75">
        <v>11178.3</v>
      </c>
      <c r="J124" s="75">
        <f>11013.2-617.2</f>
        <v>10396</v>
      </c>
      <c r="K124" s="76">
        <v>576</v>
      </c>
      <c r="L124" s="83">
        <v>9789326.5500000007</v>
      </c>
      <c r="M124" s="136">
        <v>0</v>
      </c>
      <c r="N124" s="136">
        <v>0</v>
      </c>
      <c r="O124" s="136">
        <v>0</v>
      </c>
      <c r="P124" s="77">
        <v>9789326.5500000007</v>
      </c>
      <c r="Q124" s="72">
        <f t="shared" si="3"/>
        <v>875.74376694130603</v>
      </c>
      <c r="R124" s="73">
        <v>6774</v>
      </c>
      <c r="S124" s="137" t="s">
        <v>44</v>
      </c>
    </row>
    <row r="125" spans="1:19" x14ac:dyDescent="0.25">
      <c r="A125" s="73">
        <v>114</v>
      </c>
      <c r="B125" s="65" t="s">
        <v>103</v>
      </c>
      <c r="C125" s="78">
        <v>1973</v>
      </c>
      <c r="D125" s="74"/>
      <c r="E125" s="74" t="s">
        <v>26</v>
      </c>
      <c r="F125" s="79">
        <v>5</v>
      </c>
      <c r="G125" s="79">
        <v>6</v>
      </c>
      <c r="H125" s="67">
        <v>4937.6000000000004</v>
      </c>
      <c r="I125" s="67">
        <v>4490.2</v>
      </c>
      <c r="J125" s="67">
        <f>4490.2-798.74</f>
        <v>3691.46</v>
      </c>
      <c r="K125" s="80">
        <v>212</v>
      </c>
      <c r="L125" s="83">
        <v>2368392</v>
      </c>
      <c r="M125" s="136">
        <v>0</v>
      </c>
      <c r="N125" s="136">
        <v>0</v>
      </c>
      <c r="O125" s="136">
        <v>0</v>
      </c>
      <c r="P125" s="77">
        <v>2368392</v>
      </c>
      <c r="Q125" s="72">
        <f t="shared" si="3"/>
        <v>527.45801968731905</v>
      </c>
      <c r="R125" s="73">
        <v>6774</v>
      </c>
      <c r="S125" s="137" t="s">
        <v>44</v>
      </c>
    </row>
    <row r="126" spans="1:19" x14ac:dyDescent="0.25">
      <c r="A126" s="73">
        <v>115</v>
      </c>
      <c r="B126" s="65" t="s">
        <v>89</v>
      </c>
      <c r="C126" s="78">
        <v>1966</v>
      </c>
      <c r="D126" s="74"/>
      <c r="E126" s="74" t="s">
        <v>27</v>
      </c>
      <c r="F126" s="79">
        <v>5</v>
      </c>
      <c r="G126" s="79">
        <v>4</v>
      </c>
      <c r="H126" s="67">
        <v>3612</v>
      </c>
      <c r="I126" s="67">
        <v>3195.38</v>
      </c>
      <c r="J126" s="67">
        <f>I126-0</f>
        <v>3195.38</v>
      </c>
      <c r="K126" s="80">
        <v>164</v>
      </c>
      <c r="L126" s="83">
        <v>1728895</v>
      </c>
      <c r="M126" s="136">
        <v>0</v>
      </c>
      <c r="N126" s="136">
        <v>0</v>
      </c>
      <c r="O126" s="136">
        <v>0</v>
      </c>
      <c r="P126" s="77">
        <v>1728895</v>
      </c>
      <c r="Q126" s="72">
        <f t="shared" si="3"/>
        <v>541.06084409366019</v>
      </c>
      <c r="R126" s="73">
        <v>6774</v>
      </c>
      <c r="S126" s="137" t="s">
        <v>44</v>
      </c>
    </row>
    <row r="127" spans="1:19" x14ac:dyDescent="0.25">
      <c r="A127" s="73">
        <v>116</v>
      </c>
      <c r="B127" s="65" t="s">
        <v>84</v>
      </c>
      <c r="C127" s="78">
        <v>1974</v>
      </c>
      <c r="D127" s="74"/>
      <c r="E127" s="74" t="s">
        <v>27</v>
      </c>
      <c r="F127" s="79">
        <v>5</v>
      </c>
      <c r="G127" s="79">
        <v>4</v>
      </c>
      <c r="H127" s="67">
        <v>3464.9</v>
      </c>
      <c r="I127" s="67">
        <v>3188.7</v>
      </c>
      <c r="J127" s="67">
        <v>3050.1</v>
      </c>
      <c r="K127" s="80">
        <v>130</v>
      </c>
      <c r="L127" s="83">
        <v>2652530</v>
      </c>
      <c r="M127" s="136">
        <v>0</v>
      </c>
      <c r="N127" s="136">
        <v>0</v>
      </c>
      <c r="O127" s="136">
        <v>0</v>
      </c>
      <c r="P127" s="77">
        <v>2652530</v>
      </c>
      <c r="Q127" s="72">
        <f t="shared" si="3"/>
        <v>831.85310628155685</v>
      </c>
      <c r="R127" s="73">
        <v>6774</v>
      </c>
      <c r="S127" s="137" t="s">
        <v>44</v>
      </c>
    </row>
    <row r="128" spans="1:19" x14ac:dyDescent="0.25">
      <c r="A128" s="73">
        <v>117</v>
      </c>
      <c r="B128" s="64" t="s">
        <v>80</v>
      </c>
      <c r="C128" s="78">
        <v>1974</v>
      </c>
      <c r="D128" s="74"/>
      <c r="E128" s="74" t="s">
        <v>26</v>
      </c>
      <c r="F128" s="79">
        <v>5</v>
      </c>
      <c r="G128" s="79">
        <v>4</v>
      </c>
      <c r="H128" s="67">
        <v>2740</v>
      </c>
      <c r="I128" s="67">
        <v>2707.8</v>
      </c>
      <c r="J128" s="67">
        <f>2707.8-277.6</f>
        <v>2430.2000000000003</v>
      </c>
      <c r="K128" s="80">
        <v>170</v>
      </c>
      <c r="L128" s="83">
        <v>1535065.47</v>
      </c>
      <c r="M128" s="136">
        <v>0</v>
      </c>
      <c r="N128" s="136">
        <v>0</v>
      </c>
      <c r="O128" s="136">
        <v>0</v>
      </c>
      <c r="P128" s="77">
        <v>1535065.47</v>
      </c>
      <c r="Q128" s="72">
        <f t="shared" si="3"/>
        <v>566.90504099268776</v>
      </c>
      <c r="R128" s="73">
        <v>6774</v>
      </c>
      <c r="S128" s="137" t="s">
        <v>44</v>
      </c>
    </row>
    <row r="129" spans="1:19" ht="13.5" customHeight="1" x14ac:dyDescent="0.25">
      <c r="A129" s="73">
        <v>118</v>
      </c>
      <c r="B129" s="65" t="s">
        <v>207</v>
      </c>
      <c r="C129" s="78">
        <v>1987</v>
      </c>
      <c r="D129" s="74"/>
      <c r="E129" s="74" t="s">
        <v>26</v>
      </c>
      <c r="F129" s="79">
        <v>9</v>
      </c>
      <c r="G129" s="79">
        <v>1</v>
      </c>
      <c r="H129" s="67">
        <v>3986.8</v>
      </c>
      <c r="I129" s="67">
        <v>3807.9</v>
      </c>
      <c r="J129" s="67">
        <v>3754.2</v>
      </c>
      <c r="K129" s="80">
        <v>152</v>
      </c>
      <c r="L129" s="83">
        <v>1787034</v>
      </c>
      <c r="M129" s="136">
        <v>0</v>
      </c>
      <c r="N129" s="136">
        <v>0</v>
      </c>
      <c r="O129" s="136">
        <v>0</v>
      </c>
      <c r="P129" s="77">
        <v>1787034</v>
      </c>
      <c r="Q129" s="72">
        <f t="shared" si="3"/>
        <v>469.29646261719057</v>
      </c>
      <c r="R129" s="73">
        <v>6774</v>
      </c>
      <c r="S129" s="137" t="s">
        <v>44</v>
      </c>
    </row>
    <row r="130" spans="1:19" x14ac:dyDescent="0.25">
      <c r="A130" s="73">
        <v>119</v>
      </c>
      <c r="B130" s="64" t="s">
        <v>162</v>
      </c>
      <c r="C130" s="78">
        <v>1982</v>
      </c>
      <c r="D130" s="74"/>
      <c r="E130" s="74" t="s">
        <v>26</v>
      </c>
      <c r="F130" s="79">
        <v>9</v>
      </c>
      <c r="G130" s="79">
        <v>1</v>
      </c>
      <c r="H130" s="67">
        <v>9925.2999999999993</v>
      </c>
      <c r="I130" s="67">
        <v>4011.8</v>
      </c>
      <c r="J130" s="67">
        <f>4011.8-138.4</f>
        <v>3873.4</v>
      </c>
      <c r="K130" s="80">
        <v>151</v>
      </c>
      <c r="L130" s="83">
        <v>2056608</v>
      </c>
      <c r="M130" s="136">
        <v>0</v>
      </c>
      <c r="N130" s="136">
        <v>0</v>
      </c>
      <c r="O130" s="136">
        <v>0</v>
      </c>
      <c r="P130" s="77">
        <v>2056608</v>
      </c>
      <c r="Q130" s="72">
        <f t="shared" si="3"/>
        <v>512.63971284710101</v>
      </c>
      <c r="R130" s="73">
        <v>6774</v>
      </c>
      <c r="S130" s="137" t="s">
        <v>44</v>
      </c>
    </row>
    <row r="131" spans="1:19" x14ac:dyDescent="0.25">
      <c r="A131" s="73">
        <v>120</v>
      </c>
      <c r="B131" s="64" t="s">
        <v>163</v>
      </c>
      <c r="C131" s="78">
        <v>1900</v>
      </c>
      <c r="D131" s="74"/>
      <c r="E131" s="74" t="s">
        <v>224</v>
      </c>
      <c r="F131" s="79">
        <v>2</v>
      </c>
      <c r="G131" s="79">
        <v>2</v>
      </c>
      <c r="H131" s="67">
        <v>372.6</v>
      </c>
      <c r="I131" s="67">
        <v>322.60000000000002</v>
      </c>
      <c r="J131" s="67">
        <f>322.6-54.7</f>
        <v>267.90000000000003</v>
      </c>
      <c r="K131" s="80">
        <v>16</v>
      </c>
      <c r="L131" s="83">
        <v>582157</v>
      </c>
      <c r="M131" s="136">
        <v>0</v>
      </c>
      <c r="N131" s="136">
        <v>0</v>
      </c>
      <c r="O131" s="136">
        <v>0</v>
      </c>
      <c r="P131" s="77">
        <v>582157</v>
      </c>
      <c r="Q131" s="72">
        <f t="shared" si="3"/>
        <v>1804.5784252944823</v>
      </c>
      <c r="R131" s="73">
        <v>6774</v>
      </c>
      <c r="S131" s="137" t="s">
        <v>44</v>
      </c>
    </row>
    <row r="132" spans="1:19" x14ac:dyDescent="0.25">
      <c r="A132" s="73">
        <v>121</v>
      </c>
      <c r="B132" s="64" t="s">
        <v>161</v>
      </c>
      <c r="C132" s="78">
        <v>1982</v>
      </c>
      <c r="D132" s="74"/>
      <c r="E132" s="74" t="s">
        <v>26</v>
      </c>
      <c r="F132" s="79">
        <v>9</v>
      </c>
      <c r="G132" s="79">
        <v>2</v>
      </c>
      <c r="H132" s="67">
        <v>9552.6</v>
      </c>
      <c r="I132" s="67">
        <f>7626.2+23.9</f>
        <v>7650.0999999999995</v>
      </c>
      <c r="J132" s="67">
        <f>7626.2-758.8</f>
        <v>6867.4</v>
      </c>
      <c r="K132" s="80">
        <v>564</v>
      </c>
      <c r="L132" s="83">
        <v>3763756</v>
      </c>
      <c r="M132" s="136">
        <v>0</v>
      </c>
      <c r="N132" s="136">
        <v>0</v>
      </c>
      <c r="O132" s="136">
        <v>0</v>
      </c>
      <c r="P132" s="77">
        <v>3763756</v>
      </c>
      <c r="Q132" s="72">
        <f t="shared" si="3"/>
        <v>491.98781715271701</v>
      </c>
      <c r="R132" s="73">
        <v>6774</v>
      </c>
      <c r="S132" s="137" t="s">
        <v>44</v>
      </c>
    </row>
    <row r="133" spans="1:19" x14ac:dyDescent="0.25">
      <c r="A133" s="73">
        <v>122</v>
      </c>
      <c r="B133" s="64" t="s">
        <v>133</v>
      </c>
      <c r="C133" s="78">
        <v>1951</v>
      </c>
      <c r="D133" s="74"/>
      <c r="E133" s="74" t="s">
        <v>219</v>
      </c>
      <c r="F133" s="79">
        <v>2</v>
      </c>
      <c r="G133" s="79">
        <v>3</v>
      </c>
      <c r="H133" s="67">
        <v>1448</v>
      </c>
      <c r="I133" s="67">
        <v>1391.2</v>
      </c>
      <c r="J133" s="67">
        <v>1391.2</v>
      </c>
      <c r="K133" s="80">
        <v>42</v>
      </c>
      <c r="L133" s="83">
        <v>2661189</v>
      </c>
      <c r="M133" s="136">
        <v>0</v>
      </c>
      <c r="N133" s="136">
        <v>0</v>
      </c>
      <c r="O133" s="136">
        <v>0</v>
      </c>
      <c r="P133" s="77">
        <v>2661189</v>
      </c>
      <c r="Q133" s="72">
        <f t="shared" si="3"/>
        <v>1912.8730592294421</v>
      </c>
      <c r="R133" s="73">
        <v>6774</v>
      </c>
      <c r="S133" s="137" t="s">
        <v>44</v>
      </c>
    </row>
    <row r="134" spans="1:19" x14ac:dyDescent="0.25">
      <c r="A134" s="73">
        <v>123</v>
      </c>
      <c r="B134" s="65" t="s">
        <v>104</v>
      </c>
      <c r="C134" s="78">
        <v>1956</v>
      </c>
      <c r="D134" s="74"/>
      <c r="E134" s="74" t="s">
        <v>27</v>
      </c>
      <c r="F134" s="79">
        <v>2</v>
      </c>
      <c r="G134" s="79">
        <v>2</v>
      </c>
      <c r="H134" s="67">
        <v>457.6</v>
      </c>
      <c r="I134" s="67">
        <v>413.4</v>
      </c>
      <c r="J134" s="67">
        <f>413.4-113.4</f>
        <v>300</v>
      </c>
      <c r="K134" s="80">
        <v>26</v>
      </c>
      <c r="L134" s="83">
        <v>1219267.47</v>
      </c>
      <c r="M134" s="136">
        <v>0</v>
      </c>
      <c r="N134" s="136">
        <v>0</v>
      </c>
      <c r="O134" s="136">
        <v>0</v>
      </c>
      <c r="P134" s="77">
        <v>1219267.47</v>
      </c>
      <c r="Q134" s="72">
        <f t="shared" si="3"/>
        <v>2949.3649492017416</v>
      </c>
      <c r="R134" s="73">
        <v>6774</v>
      </c>
      <c r="S134" s="137" t="s">
        <v>44</v>
      </c>
    </row>
    <row r="135" spans="1:19" x14ac:dyDescent="0.25">
      <c r="A135" s="73">
        <v>124</v>
      </c>
      <c r="B135" s="64" t="s">
        <v>181</v>
      </c>
      <c r="C135" s="78">
        <v>1964</v>
      </c>
      <c r="D135" s="74"/>
      <c r="E135" s="74" t="s">
        <v>27</v>
      </c>
      <c r="F135" s="79">
        <v>4</v>
      </c>
      <c r="G135" s="79">
        <v>2</v>
      </c>
      <c r="H135" s="67">
        <v>1300.5999999999999</v>
      </c>
      <c r="I135" s="67">
        <v>1269.3</v>
      </c>
      <c r="J135" s="67">
        <f>1269.3-42</f>
        <v>1227.3</v>
      </c>
      <c r="K135" s="80">
        <v>30</v>
      </c>
      <c r="L135" s="83">
        <v>1136666</v>
      </c>
      <c r="M135" s="136">
        <v>0</v>
      </c>
      <c r="N135" s="136">
        <v>0</v>
      </c>
      <c r="O135" s="136">
        <v>0</v>
      </c>
      <c r="P135" s="77">
        <v>1136666</v>
      </c>
      <c r="Q135" s="72">
        <f t="shared" si="3"/>
        <v>895.50618451114792</v>
      </c>
      <c r="R135" s="73">
        <v>6774</v>
      </c>
      <c r="S135" s="137" t="s">
        <v>44</v>
      </c>
    </row>
    <row r="136" spans="1:19" x14ac:dyDescent="0.25">
      <c r="A136" s="73">
        <v>125</v>
      </c>
      <c r="B136" s="64" t="s">
        <v>172</v>
      </c>
      <c r="C136" s="78">
        <v>1976</v>
      </c>
      <c r="D136" s="74"/>
      <c r="E136" s="74" t="s">
        <v>26</v>
      </c>
      <c r="F136" s="79">
        <v>9</v>
      </c>
      <c r="G136" s="79">
        <v>3</v>
      </c>
      <c r="H136" s="67">
        <v>5980</v>
      </c>
      <c r="I136" s="67">
        <v>5927.9</v>
      </c>
      <c r="J136" s="67">
        <f>5927.9-46.4</f>
        <v>5881.5</v>
      </c>
      <c r="K136" s="80">
        <v>272</v>
      </c>
      <c r="L136" s="83">
        <v>5619141</v>
      </c>
      <c r="M136" s="136">
        <v>0</v>
      </c>
      <c r="N136" s="136">
        <v>0</v>
      </c>
      <c r="O136" s="136">
        <v>0</v>
      </c>
      <c r="P136" s="77">
        <v>5619141</v>
      </c>
      <c r="Q136" s="72">
        <f t="shared" si="3"/>
        <v>947.91426980887002</v>
      </c>
      <c r="R136" s="73">
        <v>6774</v>
      </c>
      <c r="S136" s="137" t="s">
        <v>44</v>
      </c>
    </row>
    <row r="137" spans="1:19" x14ac:dyDescent="0.25">
      <c r="A137" s="73">
        <v>126</v>
      </c>
      <c r="B137" s="64" t="s">
        <v>170</v>
      </c>
      <c r="C137" s="78">
        <v>1968</v>
      </c>
      <c r="D137" s="74"/>
      <c r="E137" s="74" t="s">
        <v>27</v>
      </c>
      <c r="F137" s="79">
        <v>5</v>
      </c>
      <c r="G137" s="79">
        <v>4</v>
      </c>
      <c r="H137" s="67">
        <v>3111.5</v>
      </c>
      <c r="I137" s="67">
        <v>2841.4</v>
      </c>
      <c r="J137" s="67">
        <f>2812.5-138.2</f>
        <v>2674.3</v>
      </c>
      <c r="K137" s="80">
        <v>124</v>
      </c>
      <c r="L137" s="83">
        <v>2588344</v>
      </c>
      <c r="M137" s="136">
        <v>0</v>
      </c>
      <c r="N137" s="136">
        <v>0</v>
      </c>
      <c r="O137" s="136">
        <v>0</v>
      </c>
      <c r="P137" s="77">
        <v>2588344</v>
      </c>
      <c r="Q137" s="72">
        <f t="shared" si="3"/>
        <v>910.93967762370664</v>
      </c>
      <c r="R137" s="73">
        <v>6774</v>
      </c>
      <c r="S137" s="137" t="s">
        <v>44</v>
      </c>
    </row>
    <row r="138" spans="1:19" x14ac:dyDescent="0.25">
      <c r="A138" s="73">
        <v>127</v>
      </c>
      <c r="B138" s="65" t="s">
        <v>105</v>
      </c>
      <c r="C138" s="78">
        <v>1954</v>
      </c>
      <c r="D138" s="74"/>
      <c r="E138" s="74" t="s">
        <v>221</v>
      </c>
      <c r="F138" s="79">
        <v>2</v>
      </c>
      <c r="G138" s="79">
        <v>2</v>
      </c>
      <c r="H138" s="67">
        <f>392.2+45.5</f>
        <v>437.7</v>
      </c>
      <c r="I138" s="67">
        <v>392.2</v>
      </c>
      <c r="J138" s="67">
        <f>392.2-71.9</f>
        <v>320.29999999999995</v>
      </c>
      <c r="K138" s="80">
        <v>21</v>
      </c>
      <c r="L138" s="83">
        <v>1162075.71</v>
      </c>
      <c r="M138" s="136">
        <v>0</v>
      </c>
      <c r="N138" s="136">
        <v>0</v>
      </c>
      <c r="O138" s="136">
        <v>0</v>
      </c>
      <c r="P138" s="77">
        <v>1162075.71</v>
      </c>
      <c r="Q138" s="72">
        <f t="shared" si="3"/>
        <v>2962.9671341152475</v>
      </c>
      <c r="R138" s="73">
        <v>6774</v>
      </c>
      <c r="S138" s="137" t="s">
        <v>44</v>
      </c>
    </row>
    <row r="139" spans="1:19" x14ac:dyDescent="0.25">
      <c r="A139" s="73">
        <v>128</v>
      </c>
      <c r="B139" s="64" t="s">
        <v>110</v>
      </c>
      <c r="C139" s="78">
        <v>1974</v>
      </c>
      <c r="D139" s="74"/>
      <c r="E139" s="74" t="s">
        <v>26</v>
      </c>
      <c r="F139" s="79">
        <v>5</v>
      </c>
      <c r="G139" s="79">
        <v>6</v>
      </c>
      <c r="H139" s="67">
        <v>4447.6000000000004</v>
      </c>
      <c r="I139" s="67">
        <v>4413.8999999999996</v>
      </c>
      <c r="J139" s="67">
        <f>4413.9-475.3</f>
        <v>3938.5999999999995</v>
      </c>
      <c r="K139" s="80">
        <v>204</v>
      </c>
      <c r="L139" s="83">
        <v>4015999</v>
      </c>
      <c r="M139" s="136">
        <v>0</v>
      </c>
      <c r="N139" s="136">
        <v>0</v>
      </c>
      <c r="O139" s="136">
        <v>0</v>
      </c>
      <c r="P139" s="77">
        <v>4015999</v>
      </c>
      <c r="Q139" s="72">
        <f t="shared" si="3"/>
        <v>909.85273794150305</v>
      </c>
      <c r="R139" s="73">
        <v>6774</v>
      </c>
      <c r="S139" s="137" t="s">
        <v>44</v>
      </c>
    </row>
    <row r="140" spans="1:19" x14ac:dyDescent="0.25">
      <c r="A140" s="73">
        <v>129</v>
      </c>
      <c r="B140" s="64" t="s">
        <v>126</v>
      </c>
      <c r="C140" s="78">
        <v>1960</v>
      </c>
      <c r="D140" s="74"/>
      <c r="E140" s="74" t="s">
        <v>27</v>
      </c>
      <c r="F140" s="79">
        <v>5</v>
      </c>
      <c r="G140" s="79">
        <v>2</v>
      </c>
      <c r="H140" s="67">
        <v>1748.6</v>
      </c>
      <c r="I140" s="67">
        <v>1625.2</v>
      </c>
      <c r="J140" s="67">
        <v>1625.2</v>
      </c>
      <c r="K140" s="80">
        <v>75</v>
      </c>
      <c r="L140" s="83">
        <v>1421187</v>
      </c>
      <c r="M140" s="136">
        <v>0</v>
      </c>
      <c r="N140" s="136">
        <v>0</v>
      </c>
      <c r="O140" s="136">
        <v>0</v>
      </c>
      <c r="P140" s="77">
        <v>1421187</v>
      </c>
      <c r="Q140" s="72">
        <f t="shared" ref="Q140:Q171" si="4">L140/I140</f>
        <v>874.46898843219299</v>
      </c>
      <c r="R140" s="73">
        <v>6774</v>
      </c>
      <c r="S140" s="137" t="s">
        <v>44</v>
      </c>
    </row>
    <row r="141" spans="1:19" x14ac:dyDescent="0.25">
      <c r="A141" s="73">
        <v>130</v>
      </c>
      <c r="B141" s="65" t="s">
        <v>88</v>
      </c>
      <c r="C141" s="78">
        <v>1961</v>
      </c>
      <c r="D141" s="74"/>
      <c r="E141" s="74" t="s">
        <v>27</v>
      </c>
      <c r="F141" s="79">
        <v>5</v>
      </c>
      <c r="G141" s="79">
        <v>2</v>
      </c>
      <c r="H141" s="67">
        <v>1732.1</v>
      </c>
      <c r="I141" s="67">
        <v>1608.1</v>
      </c>
      <c r="J141" s="67">
        <f>1608.1-263.9</f>
        <v>1344.1999999999998</v>
      </c>
      <c r="K141" s="80">
        <v>79</v>
      </c>
      <c r="L141" s="83">
        <v>2738244.31</v>
      </c>
      <c r="M141" s="136">
        <v>0</v>
      </c>
      <c r="N141" s="136">
        <v>0</v>
      </c>
      <c r="O141" s="136">
        <v>0</v>
      </c>
      <c r="P141" s="77">
        <v>2738244.31</v>
      </c>
      <c r="Q141" s="72">
        <f t="shared" si="4"/>
        <v>1702.7823580623096</v>
      </c>
      <c r="R141" s="73">
        <v>6774</v>
      </c>
      <c r="S141" s="137" t="s">
        <v>44</v>
      </c>
    </row>
    <row r="142" spans="1:19" x14ac:dyDescent="0.25">
      <c r="A142" s="73">
        <v>131</v>
      </c>
      <c r="B142" s="64" t="s">
        <v>66</v>
      </c>
      <c r="C142" s="78">
        <v>1967</v>
      </c>
      <c r="D142" s="74"/>
      <c r="E142" s="74" t="s">
        <v>27</v>
      </c>
      <c r="F142" s="79">
        <v>6</v>
      </c>
      <c r="G142" s="79">
        <v>5</v>
      </c>
      <c r="H142" s="67">
        <v>5871.4</v>
      </c>
      <c r="I142" s="67">
        <v>5136.3</v>
      </c>
      <c r="J142" s="67">
        <v>3519.89</v>
      </c>
      <c r="K142" s="80">
        <v>206</v>
      </c>
      <c r="L142" s="83">
        <v>2056315</v>
      </c>
      <c r="M142" s="136">
        <v>0</v>
      </c>
      <c r="N142" s="136">
        <v>0</v>
      </c>
      <c r="O142" s="136">
        <v>0</v>
      </c>
      <c r="P142" s="77">
        <v>2056315</v>
      </c>
      <c r="Q142" s="72">
        <f t="shared" si="4"/>
        <v>400.34947335630704</v>
      </c>
      <c r="R142" s="73">
        <v>6774</v>
      </c>
      <c r="S142" s="137" t="s">
        <v>44</v>
      </c>
    </row>
    <row r="143" spans="1:19" x14ac:dyDescent="0.25">
      <c r="A143" s="73">
        <v>132</v>
      </c>
      <c r="B143" s="64" t="s">
        <v>60</v>
      </c>
      <c r="C143" s="78">
        <v>1954</v>
      </c>
      <c r="D143" s="74"/>
      <c r="E143" s="74" t="s">
        <v>27</v>
      </c>
      <c r="F143" s="79">
        <v>3</v>
      </c>
      <c r="G143" s="79">
        <v>3</v>
      </c>
      <c r="H143" s="67">
        <v>2237.1999999999998</v>
      </c>
      <c r="I143" s="67">
        <v>2031</v>
      </c>
      <c r="J143" s="67">
        <f>1514.03-266.7</f>
        <v>1247.33</v>
      </c>
      <c r="K143" s="80">
        <v>48</v>
      </c>
      <c r="L143" s="83">
        <v>2244806</v>
      </c>
      <c r="M143" s="136">
        <v>0</v>
      </c>
      <c r="N143" s="136">
        <v>0</v>
      </c>
      <c r="O143" s="136">
        <v>0</v>
      </c>
      <c r="P143" s="77">
        <v>2244806</v>
      </c>
      <c r="Q143" s="72">
        <f t="shared" si="4"/>
        <v>1105.2712949286065</v>
      </c>
      <c r="R143" s="73">
        <v>6774</v>
      </c>
      <c r="S143" s="137" t="s">
        <v>44</v>
      </c>
    </row>
    <row r="144" spans="1:19" x14ac:dyDescent="0.25">
      <c r="A144" s="73">
        <v>133</v>
      </c>
      <c r="B144" s="65" t="s">
        <v>92</v>
      </c>
      <c r="C144" s="78">
        <v>1964</v>
      </c>
      <c r="D144" s="74"/>
      <c r="E144" s="74" t="s">
        <v>27</v>
      </c>
      <c r="F144" s="79">
        <v>5</v>
      </c>
      <c r="G144" s="79">
        <v>3</v>
      </c>
      <c r="H144" s="67">
        <v>2746.1</v>
      </c>
      <c r="I144" s="67">
        <v>2549.5</v>
      </c>
      <c r="J144" s="67">
        <f>2468.5-85.6</f>
        <v>2382.9</v>
      </c>
      <c r="K144" s="80">
        <v>100</v>
      </c>
      <c r="L144" s="83">
        <v>1561539</v>
      </c>
      <c r="M144" s="136">
        <v>0</v>
      </c>
      <c r="N144" s="136">
        <v>0</v>
      </c>
      <c r="O144" s="136">
        <v>0</v>
      </c>
      <c r="P144" s="77">
        <v>1561539</v>
      </c>
      <c r="Q144" s="72">
        <f t="shared" si="4"/>
        <v>612.48833104530297</v>
      </c>
      <c r="R144" s="73">
        <v>6774</v>
      </c>
      <c r="S144" s="137" t="s">
        <v>44</v>
      </c>
    </row>
    <row r="145" spans="1:19" x14ac:dyDescent="0.25">
      <c r="A145" s="73">
        <v>134</v>
      </c>
      <c r="B145" s="65" t="s">
        <v>222</v>
      </c>
      <c r="C145" s="78">
        <v>1975</v>
      </c>
      <c r="D145" s="74"/>
      <c r="E145" s="74" t="s">
        <v>26</v>
      </c>
      <c r="F145" s="79">
        <v>5</v>
      </c>
      <c r="G145" s="79">
        <v>10</v>
      </c>
      <c r="H145" s="67">
        <v>7530</v>
      </c>
      <c r="I145" s="67">
        <v>6813.3</v>
      </c>
      <c r="J145" s="67">
        <v>6296.5</v>
      </c>
      <c r="K145" s="80">
        <v>312</v>
      </c>
      <c r="L145" s="83">
        <v>5982216</v>
      </c>
      <c r="M145" s="136">
        <v>0</v>
      </c>
      <c r="N145" s="136">
        <v>0</v>
      </c>
      <c r="O145" s="136">
        <v>0</v>
      </c>
      <c r="P145" s="77">
        <v>5982216</v>
      </c>
      <c r="Q145" s="72">
        <f t="shared" si="4"/>
        <v>878.02034256527668</v>
      </c>
      <c r="R145" s="73">
        <v>6774</v>
      </c>
      <c r="S145" s="137" t="s">
        <v>44</v>
      </c>
    </row>
    <row r="146" spans="1:19" x14ac:dyDescent="0.25">
      <c r="A146" s="73">
        <v>135</v>
      </c>
      <c r="B146" s="64" t="s">
        <v>132</v>
      </c>
      <c r="C146" s="78">
        <v>1959</v>
      </c>
      <c r="D146" s="74"/>
      <c r="E146" s="74" t="s">
        <v>27</v>
      </c>
      <c r="F146" s="79">
        <v>2</v>
      </c>
      <c r="G146" s="79">
        <v>1</v>
      </c>
      <c r="H146" s="67">
        <v>444.7</v>
      </c>
      <c r="I146" s="67">
        <v>402.3</v>
      </c>
      <c r="J146" s="67">
        <f>402.3-47.7</f>
        <v>354.6</v>
      </c>
      <c r="K146" s="80">
        <v>17</v>
      </c>
      <c r="L146" s="83">
        <v>642210</v>
      </c>
      <c r="M146" s="136">
        <v>0</v>
      </c>
      <c r="N146" s="136">
        <v>0</v>
      </c>
      <c r="O146" s="136">
        <v>0</v>
      </c>
      <c r="P146" s="77">
        <v>642210</v>
      </c>
      <c r="Q146" s="72">
        <f t="shared" si="4"/>
        <v>1596.3460104399701</v>
      </c>
      <c r="R146" s="73">
        <v>6774</v>
      </c>
      <c r="S146" s="137" t="s">
        <v>44</v>
      </c>
    </row>
    <row r="147" spans="1:19" x14ac:dyDescent="0.25">
      <c r="A147" s="73">
        <v>136</v>
      </c>
      <c r="B147" s="64" t="s">
        <v>182</v>
      </c>
      <c r="C147" s="78">
        <v>1960</v>
      </c>
      <c r="D147" s="74"/>
      <c r="E147" s="74" t="s">
        <v>27</v>
      </c>
      <c r="F147" s="79">
        <v>2</v>
      </c>
      <c r="G147" s="79">
        <v>2</v>
      </c>
      <c r="H147" s="67">
        <v>599.70000000000005</v>
      </c>
      <c r="I147" s="67">
        <v>557.79999999999995</v>
      </c>
      <c r="J147" s="67">
        <f>557.8-37.5</f>
        <v>520.29999999999995</v>
      </c>
      <c r="K147" s="80">
        <v>30</v>
      </c>
      <c r="L147" s="83">
        <v>996585</v>
      </c>
      <c r="M147" s="136">
        <v>0</v>
      </c>
      <c r="N147" s="136">
        <v>0</v>
      </c>
      <c r="O147" s="136">
        <v>0</v>
      </c>
      <c r="P147" s="77">
        <v>996585</v>
      </c>
      <c r="Q147" s="72">
        <f t="shared" si="4"/>
        <v>1786.6349946217283</v>
      </c>
      <c r="R147" s="73">
        <v>6774</v>
      </c>
      <c r="S147" s="137" t="s">
        <v>44</v>
      </c>
    </row>
    <row r="148" spans="1:19" x14ac:dyDescent="0.25">
      <c r="A148" s="73">
        <v>137</v>
      </c>
      <c r="B148" s="65" t="s">
        <v>81</v>
      </c>
      <c r="C148" s="78">
        <v>1976</v>
      </c>
      <c r="D148" s="74"/>
      <c r="E148" s="74" t="s">
        <v>26</v>
      </c>
      <c r="F148" s="79">
        <v>5</v>
      </c>
      <c r="G148" s="79">
        <v>4</v>
      </c>
      <c r="H148" s="67">
        <v>2095.3000000000002</v>
      </c>
      <c r="I148" s="67">
        <v>2070.5</v>
      </c>
      <c r="J148" s="67">
        <f>2066.7-42.1</f>
        <v>2024.6</v>
      </c>
      <c r="K148" s="80">
        <v>109</v>
      </c>
      <c r="L148" s="83">
        <v>1116228</v>
      </c>
      <c r="M148" s="136">
        <v>0</v>
      </c>
      <c r="N148" s="136">
        <v>0</v>
      </c>
      <c r="O148" s="136">
        <v>0</v>
      </c>
      <c r="P148" s="77">
        <v>1116228</v>
      </c>
      <c r="Q148" s="72">
        <f t="shared" si="4"/>
        <v>539.11035981646944</v>
      </c>
      <c r="R148" s="73">
        <v>6774</v>
      </c>
      <c r="S148" s="137" t="s">
        <v>44</v>
      </c>
    </row>
    <row r="149" spans="1:19" x14ac:dyDescent="0.25">
      <c r="A149" s="73">
        <v>138</v>
      </c>
      <c r="B149" s="64" t="s">
        <v>198</v>
      </c>
      <c r="C149" s="78">
        <v>1981</v>
      </c>
      <c r="D149" s="74"/>
      <c r="E149" s="74" t="s">
        <v>26</v>
      </c>
      <c r="F149" s="79">
        <v>9</v>
      </c>
      <c r="G149" s="79">
        <v>2</v>
      </c>
      <c r="H149" s="67">
        <v>4307.2</v>
      </c>
      <c r="I149" s="67">
        <v>3860.9</v>
      </c>
      <c r="J149" s="67">
        <f>3860.9-228.3</f>
        <v>3632.6</v>
      </c>
      <c r="K149" s="80">
        <v>166</v>
      </c>
      <c r="L149" s="83">
        <v>3719885</v>
      </c>
      <c r="M149" s="136">
        <v>0</v>
      </c>
      <c r="N149" s="136">
        <v>0</v>
      </c>
      <c r="O149" s="136">
        <v>0</v>
      </c>
      <c r="P149" s="77">
        <v>3719885</v>
      </c>
      <c r="Q149" s="72">
        <f t="shared" si="4"/>
        <v>963.47613250796439</v>
      </c>
      <c r="R149" s="73">
        <v>6774</v>
      </c>
      <c r="S149" s="137" t="s">
        <v>44</v>
      </c>
    </row>
    <row r="150" spans="1:19" x14ac:dyDescent="0.25">
      <c r="A150" s="73">
        <v>139</v>
      </c>
      <c r="B150" s="64" t="s">
        <v>56</v>
      </c>
      <c r="C150" s="78">
        <v>1958</v>
      </c>
      <c r="D150" s="74"/>
      <c r="E150" s="74" t="s">
        <v>27</v>
      </c>
      <c r="F150" s="79">
        <v>4</v>
      </c>
      <c r="G150" s="79">
        <v>3</v>
      </c>
      <c r="H150" s="67">
        <v>3072.6</v>
      </c>
      <c r="I150" s="67">
        <v>2789.4</v>
      </c>
      <c r="J150" s="67">
        <f>2383.1</f>
        <v>2383.1</v>
      </c>
      <c r="K150" s="80">
        <v>96</v>
      </c>
      <c r="L150" s="83">
        <v>3202371</v>
      </c>
      <c r="M150" s="136">
        <v>0</v>
      </c>
      <c r="N150" s="136">
        <v>0</v>
      </c>
      <c r="O150" s="136">
        <v>0</v>
      </c>
      <c r="P150" s="77">
        <v>3202371</v>
      </c>
      <c r="Q150" s="72">
        <f t="shared" si="4"/>
        <v>1148.0501183050119</v>
      </c>
      <c r="R150" s="73">
        <v>6774</v>
      </c>
      <c r="S150" s="137" t="s">
        <v>44</v>
      </c>
    </row>
    <row r="151" spans="1:19" x14ac:dyDescent="0.25">
      <c r="A151" s="73">
        <v>140</v>
      </c>
      <c r="B151" s="64" t="s">
        <v>165</v>
      </c>
      <c r="C151" s="78">
        <v>1952</v>
      </c>
      <c r="D151" s="74"/>
      <c r="E151" s="74" t="s">
        <v>27</v>
      </c>
      <c r="F151" s="79">
        <v>2</v>
      </c>
      <c r="G151" s="79">
        <v>2</v>
      </c>
      <c r="H151" s="67">
        <v>757.9</v>
      </c>
      <c r="I151" s="67">
        <v>691.6</v>
      </c>
      <c r="J151" s="67">
        <f>662.6-43.1</f>
        <v>619.5</v>
      </c>
      <c r="K151" s="80">
        <v>25</v>
      </c>
      <c r="L151" s="83">
        <v>640078</v>
      </c>
      <c r="M151" s="136">
        <v>0</v>
      </c>
      <c r="N151" s="136">
        <v>0</v>
      </c>
      <c r="O151" s="136">
        <v>0</v>
      </c>
      <c r="P151" s="77">
        <v>640078</v>
      </c>
      <c r="Q151" s="72">
        <f t="shared" si="4"/>
        <v>925.50318102949677</v>
      </c>
      <c r="R151" s="73">
        <v>6774</v>
      </c>
      <c r="S151" s="137" t="s">
        <v>44</v>
      </c>
    </row>
    <row r="152" spans="1:19" x14ac:dyDescent="0.25">
      <c r="A152" s="73">
        <v>141</v>
      </c>
      <c r="B152" s="65" t="s">
        <v>100</v>
      </c>
      <c r="C152" s="78">
        <v>1961</v>
      </c>
      <c r="D152" s="74"/>
      <c r="E152" s="74" t="s">
        <v>220</v>
      </c>
      <c r="F152" s="79">
        <v>3</v>
      </c>
      <c r="G152" s="79">
        <v>2</v>
      </c>
      <c r="H152" s="67">
        <f>755.9+75</f>
        <v>830.9</v>
      </c>
      <c r="I152" s="67">
        <v>755.9</v>
      </c>
      <c r="J152" s="67">
        <v>755.9</v>
      </c>
      <c r="K152" s="80">
        <v>39</v>
      </c>
      <c r="L152" s="83">
        <v>1044081.04</v>
      </c>
      <c r="M152" s="136">
        <v>0</v>
      </c>
      <c r="N152" s="136">
        <v>0</v>
      </c>
      <c r="O152" s="136">
        <v>0</v>
      </c>
      <c r="P152" s="77">
        <v>1044081.04</v>
      </c>
      <c r="Q152" s="72">
        <f t="shared" si="4"/>
        <v>1381.2422807249636</v>
      </c>
      <c r="R152" s="73">
        <v>6774</v>
      </c>
      <c r="S152" s="137" t="s">
        <v>44</v>
      </c>
    </row>
    <row r="153" spans="1:19" x14ac:dyDescent="0.25">
      <c r="A153" s="73">
        <v>142</v>
      </c>
      <c r="B153" s="65" t="s">
        <v>94</v>
      </c>
      <c r="C153" s="78">
        <v>1975</v>
      </c>
      <c r="D153" s="74"/>
      <c r="E153" s="74" t="s">
        <v>26</v>
      </c>
      <c r="F153" s="79">
        <v>9</v>
      </c>
      <c r="G153" s="79">
        <v>3</v>
      </c>
      <c r="H153" s="67">
        <v>6526.3</v>
      </c>
      <c r="I153" s="67">
        <v>5733.9</v>
      </c>
      <c r="J153" s="67">
        <f>5733.9-316.7</f>
        <v>5417.2</v>
      </c>
      <c r="K153" s="80">
        <v>243</v>
      </c>
      <c r="L153" s="83">
        <v>5623853</v>
      </c>
      <c r="M153" s="136">
        <v>0</v>
      </c>
      <c r="N153" s="136">
        <v>0</v>
      </c>
      <c r="O153" s="136">
        <v>0</v>
      </c>
      <c r="P153" s="77">
        <v>5623853</v>
      </c>
      <c r="Q153" s="72">
        <f t="shared" si="4"/>
        <v>980.80765273199745</v>
      </c>
      <c r="R153" s="73">
        <v>6774</v>
      </c>
      <c r="S153" s="137" t="s">
        <v>44</v>
      </c>
    </row>
    <row r="154" spans="1:19" x14ac:dyDescent="0.25">
      <c r="A154" s="73">
        <v>143</v>
      </c>
      <c r="B154" s="64" t="s">
        <v>193</v>
      </c>
      <c r="C154" s="78">
        <v>1961</v>
      </c>
      <c r="D154" s="74"/>
      <c r="E154" s="74" t="s">
        <v>27</v>
      </c>
      <c r="F154" s="79">
        <v>5</v>
      </c>
      <c r="G154" s="79">
        <v>4</v>
      </c>
      <c r="H154" s="67">
        <v>3760.3</v>
      </c>
      <c r="I154" s="67">
        <v>3400.51</v>
      </c>
      <c r="J154" s="67">
        <f>2497.9-100.3</f>
        <v>2397.6</v>
      </c>
      <c r="K154" s="80">
        <v>105</v>
      </c>
      <c r="L154" s="83">
        <v>1870910</v>
      </c>
      <c r="M154" s="136">
        <v>0</v>
      </c>
      <c r="N154" s="136">
        <v>0</v>
      </c>
      <c r="O154" s="136">
        <v>0</v>
      </c>
      <c r="P154" s="77">
        <v>1870910</v>
      </c>
      <c r="Q154" s="72">
        <f t="shared" si="4"/>
        <v>550.18511929092983</v>
      </c>
      <c r="R154" s="73">
        <v>6774</v>
      </c>
      <c r="S154" s="137" t="s">
        <v>44</v>
      </c>
    </row>
    <row r="155" spans="1:19" x14ac:dyDescent="0.25">
      <c r="A155" s="73">
        <v>144</v>
      </c>
      <c r="B155" s="64" t="s">
        <v>167</v>
      </c>
      <c r="C155" s="78">
        <v>1986</v>
      </c>
      <c r="D155" s="74"/>
      <c r="E155" s="74" t="s">
        <v>26</v>
      </c>
      <c r="F155" s="79">
        <v>9</v>
      </c>
      <c r="G155" s="79">
        <v>3</v>
      </c>
      <c r="H155" s="67">
        <v>9111.2000000000007</v>
      </c>
      <c r="I155" s="67">
        <v>8526.2000000000007</v>
      </c>
      <c r="J155" s="67">
        <f>I155-254.1</f>
        <v>8272.1</v>
      </c>
      <c r="K155" s="80">
        <v>308</v>
      </c>
      <c r="L155" s="83">
        <v>4265098</v>
      </c>
      <c r="M155" s="136">
        <v>0</v>
      </c>
      <c r="N155" s="136">
        <v>0</v>
      </c>
      <c r="O155" s="136">
        <v>0</v>
      </c>
      <c r="P155" s="77">
        <v>4265098</v>
      </c>
      <c r="Q155" s="72">
        <f t="shared" si="4"/>
        <v>500.23433651568104</v>
      </c>
      <c r="R155" s="73">
        <v>6774</v>
      </c>
      <c r="S155" s="137" t="s">
        <v>44</v>
      </c>
    </row>
    <row r="156" spans="1:19" x14ac:dyDescent="0.25">
      <c r="A156" s="73">
        <v>145</v>
      </c>
      <c r="B156" s="64" t="s">
        <v>185</v>
      </c>
      <c r="C156" s="78">
        <v>1954</v>
      </c>
      <c r="D156" s="74"/>
      <c r="E156" s="74" t="s">
        <v>27</v>
      </c>
      <c r="F156" s="79">
        <v>4</v>
      </c>
      <c r="G156" s="79">
        <v>3</v>
      </c>
      <c r="H156" s="67">
        <v>3282.8</v>
      </c>
      <c r="I156" s="67">
        <f>2453.9+555.4</f>
        <v>3009.3</v>
      </c>
      <c r="J156" s="67">
        <v>2325.1</v>
      </c>
      <c r="K156" s="80">
        <v>75</v>
      </c>
      <c r="L156" s="83">
        <v>2784233</v>
      </c>
      <c r="M156" s="136">
        <v>0</v>
      </c>
      <c r="N156" s="136">
        <v>0</v>
      </c>
      <c r="O156" s="136">
        <v>0</v>
      </c>
      <c r="P156" s="77">
        <v>2784233</v>
      </c>
      <c r="Q156" s="72">
        <f t="shared" si="4"/>
        <v>925.20951716345985</v>
      </c>
      <c r="R156" s="73">
        <v>6774</v>
      </c>
      <c r="S156" s="137" t="s">
        <v>44</v>
      </c>
    </row>
    <row r="157" spans="1:19" x14ac:dyDescent="0.25">
      <c r="A157" s="73">
        <v>146</v>
      </c>
      <c r="B157" s="64" t="s">
        <v>183</v>
      </c>
      <c r="C157" s="78">
        <v>1961</v>
      </c>
      <c r="D157" s="74"/>
      <c r="E157" s="74" t="s">
        <v>27</v>
      </c>
      <c r="F157" s="79">
        <v>5</v>
      </c>
      <c r="G157" s="79">
        <v>2</v>
      </c>
      <c r="H157" s="67">
        <v>1746.1</v>
      </c>
      <c r="I157" s="67">
        <v>1602.1</v>
      </c>
      <c r="J157" s="67">
        <v>1309.8</v>
      </c>
      <c r="K157" s="80">
        <v>68</v>
      </c>
      <c r="L157" s="83">
        <v>1206304</v>
      </c>
      <c r="M157" s="136">
        <v>0</v>
      </c>
      <c r="N157" s="136">
        <v>0</v>
      </c>
      <c r="O157" s="136">
        <v>0</v>
      </c>
      <c r="P157" s="77">
        <v>1206304</v>
      </c>
      <c r="Q157" s="72">
        <f t="shared" si="4"/>
        <v>752.95175082703952</v>
      </c>
      <c r="R157" s="73">
        <v>6774</v>
      </c>
      <c r="S157" s="137" t="s">
        <v>44</v>
      </c>
    </row>
    <row r="158" spans="1:19" x14ac:dyDescent="0.25">
      <c r="A158" s="73">
        <v>147</v>
      </c>
      <c r="B158" s="64" t="s">
        <v>127</v>
      </c>
      <c r="C158" s="78">
        <v>1989</v>
      </c>
      <c r="D158" s="74"/>
      <c r="E158" s="78" t="s">
        <v>27</v>
      </c>
      <c r="F158" s="79">
        <v>9</v>
      </c>
      <c r="G158" s="79">
        <v>1</v>
      </c>
      <c r="H158" s="67">
        <v>4112.5</v>
      </c>
      <c r="I158" s="67">
        <v>3181.1</v>
      </c>
      <c r="J158" s="67">
        <v>3181.1</v>
      </c>
      <c r="K158" s="80">
        <v>168</v>
      </c>
      <c r="L158" s="83">
        <v>1877378</v>
      </c>
      <c r="M158" s="136">
        <v>0</v>
      </c>
      <c r="N158" s="136">
        <v>0</v>
      </c>
      <c r="O158" s="136">
        <v>0</v>
      </c>
      <c r="P158" s="77">
        <v>1877378</v>
      </c>
      <c r="Q158" s="72">
        <f t="shared" si="4"/>
        <v>590.16629467794166</v>
      </c>
      <c r="R158" s="73">
        <v>6774</v>
      </c>
      <c r="S158" s="137" t="s">
        <v>44</v>
      </c>
    </row>
    <row r="159" spans="1:19" x14ac:dyDescent="0.25">
      <c r="A159" s="73">
        <v>148</v>
      </c>
      <c r="B159" s="64" t="s">
        <v>175</v>
      </c>
      <c r="C159" s="78">
        <v>1977</v>
      </c>
      <c r="D159" s="74"/>
      <c r="E159" s="74" t="s">
        <v>26</v>
      </c>
      <c r="F159" s="79">
        <v>5</v>
      </c>
      <c r="G159" s="79">
        <v>8</v>
      </c>
      <c r="H159" s="67">
        <v>6044.1</v>
      </c>
      <c r="I159" s="67">
        <v>6003.9</v>
      </c>
      <c r="J159" s="67">
        <f>I159-754.7</f>
        <v>5249.2</v>
      </c>
      <c r="K159" s="80">
        <v>279</v>
      </c>
      <c r="L159" s="83">
        <v>3051089</v>
      </c>
      <c r="M159" s="136">
        <v>0</v>
      </c>
      <c r="N159" s="136">
        <v>0</v>
      </c>
      <c r="O159" s="136">
        <v>0</v>
      </c>
      <c r="P159" s="77">
        <v>3051089</v>
      </c>
      <c r="Q159" s="72">
        <f t="shared" si="4"/>
        <v>508.1845133996236</v>
      </c>
      <c r="R159" s="73">
        <v>6774</v>
      </c>
      <c r="S159" s="137" t="s">
        <v>44</v>
      </c>
    </row>
    <row r="160" spans="1:19" x14ac:dyDescent="0.25">
      <c r="A160" s="73">
        <v>149</v>
      </c>
      <c r="B160" s="65" t="s">
        <v>206</v>
      </c>
      <c r="C160" s="78">
        <v>1978</v>
      </c>
      <c r="D160" s="74"/>
      <c r="E160" s="74" t="s">
        <v>26</v>
      </c>
      <c r="F160" s="79">
        <v>9</v>
      </c>
      <c r="G160" s="79">
        <v>5</v>
      </c>
      <c r="H160" s="67">
        <v>10953.9</v>
      </c>
      <c r="I160" s="67">
        <v>9753.6</v>
      </c>
      <c r="J160" s="67">
        <f>9753.6-636.2</f>
        <v>9117.4</v>
      </c>
      <c r="K160" s="80">
        <v>407</v>
      </c>
      <c r="L160" s="83">
        <v>9379653</v>
      </c>
      <c r="M160" s="136">
        <v>0</v>
      </c>
      <c r="N160" s="136">
        <v>0</v>
      </c>
      <c r="O160" s="136">
        <v>0</v>
      </c>
      <c r="P160" s="77">
        <v>9379653</v>
      </c>
      <c r="Q160" s="72">
        <f t="shared" si="4"/>
        <v>961.66061761811022</v>
      </c>
      <c r="R160" s="73">
        <v>6774</v>
      </c>
      <c r="S160" s="137" t="s">
        <v>44</v>
      </c>
    </row>
    <row r="161" spans="1:19" x14ac:dyDescent="0.25">
      <c r="A161" s="73">
        <v>150</v>
      </c>
      <c r="B161" s="64" t="s">
        <v>168</v>
      </c>
      <c r="C161" s="78">
        <v>1963</v>
      </c>
      <c r="D161" s="74"/>
      <c r="E161" s="74" t="s">
        <v>27</v>
      </c>
      <c r="F161" s="79">
        <v>4</v>
      </c>
      <c r="G161" s="79">
        <v>2</v>
      </c>
      <c r="H161" s="67">
        <v>1383</v>
      </c>
      <c r="I161" s="67">
        <v>1283.5</v>
      </c>
      <c r="J161" s="67">
        <f>I161-86.9</f>
        <v>1196.5999999999999</v>
      </c>
      <c r="K161" s="80">
        <v>78</v>
      </c>
      <c r="L161" s="83">
        <v>1167505</v>
      </c>
      <c r="M161" s="136">
        <v>0</v>
      </c>
      <c r="N161" s="136">
        <v>0</v>
      </c>
      <c r="O161" s="136">
        <v>0</v>
      </c>
      <c r="P161" s="77">
        <v>1167505</v>
      </c>
      <c r="Q161" s="72">
        <f t="shared" si="4"/>
        <v>909.62602259446828</v>
      </c>
      <c r="R161" s="73">
        <v>6774</v>
      </c>
      <c r="S161" s="137" t="s">
        <v>44</v>
      </c>
    </row>
    <row r="162" spans="1:19" x14ac:dyDescent="0.25">
      <c r="A162" s="73">
        <v>151</v>
      </c>
      <c r="B162" s="64" t="s">
        <v>128</v>
      </c>
      <c r="C162" s="78">
        <v>1958</v>
      </c>
      <c r="D162" s="74"/>
      <c r="E162" s="74" t="s">
        <v>27</v>
      </c>
      <c r="F162" s="79">
        <v>2</v>
      </c>
      <c r="G162" s="79">
        <v>2</v>
      </c>
      <c r="H162" s="67">
        <v>620.4</v>
      </c>
      <c r="I162" s="67">
        <v>573.79999999999995</v>
      </c>
      <c r="J162" s="67">
        <f>573.8</f>
        <v>573.79999999999995</v>
      </c>
      <c r="K162" s="80">
        <v>34</v>
      </c>
      <c r="L162" s="83">
        <v>1320636</v>
      </c>
      <c r="M162" s="136">
        <v>0</v>
      </c>
      <c r="N162" s="136">
        <v>0</v>
      </c>
      <c r="O162" s="136">
        <v>0</v>
      </c>
      <c r="P162" s="77">
        <v>1320636</v>
      </c>
      <c r="Q162" s="72">
        <f t="shared" si="4"/>
        <v>2301.5615196932731</v>
      </c>
      <c r="R162" s="73">
        <v>6774</v>
      </c>
      <c r="S162" s="137" t="s">
        <v>44</v>
      </c>
    </row>
    <row r="163" spans="1:19" x14ac:dyDescent="0.25">
      <c r="A163" s="73">
        <v>152</v>
      </c>
      <c r="B163" s="64" t="s">
        <v>158</v>
      </c>
      <c r="C163" s="78">
        <v>1910</v>
      </c>
      <c r="D163" s="74"/>
      <c r="E163" s="74" t="s">
        <v>27</v>
      </c>
      <c r="F163" s="79">
        <v>4</v>
      </c>
      <c r="G163" s="79">
        <v>1</v>
      </c>
      <c r="H163" s="67">
        <v>3725.7</v>
      </c>
      <c r="I163" s="67">
        <v>1647.4</v>
      </c>
      <c r="J163" s="67">
        <f>1647.4-1262.4</f>
        <v>385</v>
      </c>
      <c r="K163" s="80">
        <v>140</v>
      </c>
      <c r="L163" s="83">
        <v>5413964</v>
      </c>
      <c r="M163" s="136">
        <v>0</v>
      </c>
      <c r="N163" s="136">
        <v>0</v>
      </c>
      <c r="O163" s="136">
        <v>0</v>
      </c>
      <c r="P163" s="77">
        <v>5413964</v>
      </c>
      <c r="Q163" s="72">
        <f t="shared" si="4"/>
        <v>3286.3688236008252</v>
      </c>
      <c r="R163" s="73">
        <v>6774</v>
      </c>
      <c r="S163" s="137" t="s">
        <v>44</v>
      </c>
    </row>
    <row r="164" spans="1:19" x14ac:dyDescent="0.25">
      <c r="A164" s="73">
        <v>153</v>
      </c>
      <c r="B164" s="64" t="s">
        <v>148</v>
      </c>
      <c r="C164" s="78">
        <v>1960</v>
      </c>
      <c r="D164" s="74"/>
      <c r="E164" s="74" t="s">
        <v>27</v>
      </c>
      <c r="F164" s="79">
        <v>5</v>
      </c>
      <c r="G164" s="79">
        <v>4</v>
      </c>
      <c r="H164" s="67">
        <v>2830.1</v>
      </c>
      <c r="I164" s="67">
        <v>2725.21</v>
      </c>
      <c r="J164" s="67">
        <f>2222.21-231.9</f>
        <v>1990.31</v>
      </c>
      <c r="K164" s="80">
        <v>137</v>
      </c>
      <c r="L164" s="83">
        <v>1533757</v>
      </c>
      <c r="M164" s="136">
        <v>0</v>
      </c>
      <c r="N164" s="136">
        <v>0</v>
      </c>
      <c r="O164" s="136">
        <v>0</v>
      </c>
      <c r="P164" s="77">
        <v>1533757</v>
      </c>
      <c r="Q164" s="72">
        <f t="shared" si="4"/>
        <v>562.8032335122798</v>
      </c>
      <c r="R164" s="73">
        <v>6774</v>
      </c>
      <c r="S164" s="137" t="s">
        <v>44</v>
      </c>
    </row>
    <row r="165" spans="1:19" x14ac:dyDescent="0.25">
      <c r="A165" s="73">
        <v>154</v>
      </c>
      <c r="B165" s="64" t="s">
        <v>174</v>
      </c>
      <c r="C165" s="78">
        <v>1958</v>
      </c>
      <c r="D165" s="74"/>
      <c r="E165" s="74" t="s">
        <v>27</v>
      </c>
      <c r="F165" s="79">
        <v>2</v>
      </c>
      <c r="G165" s="79">
        <v>2</v>
      </c>
      <c r="H165" s="67">
        <v>928.4</v>
      </c>
      <c r="I165" s="67">
        <v>928.4</v>
      </c>
      <c r="J165" s="67">
        <v>854.4</v>
      </c>
      <c r="K165" s="80">
        <v>43</v>
      </c>
      <c r="L165" s="83">
        <v>1983854</v>
      </c>
      <c r="M165" s="136">
        <v>0</v>
      </c>
      <c r="N165" s="136">
        <v>0</v>
      </c>
      <c r="O165" s="136">
        <v>0</v>
      </c>
      <c r="P165" s="77">
        <v>1983854</v>
      </c>
      <c r="Q165" s="72">
        <f t="shared" si="4"/>
        <v>2136.8526497199482</v>
      </c>
      <c r="R165" s="73">
        <v>6774</v>
      </c>
      <c r="S165" s="137" t="s">
        <v>44</v>
      </c>
    </row>
    <row r="166" spans="1:19" x14ac:dyDescent="0.25">
      <c r="A166" s="73">
        <v>155</v>
      </c>
      <c r="B166" s="64" t="s">
        <v>144</v>
      </c>
      <c r="C166" s="78">
        <v>1971</v>
      </c>
      <c r="D166" s="74"/>
      <c r="E166" s="74" t="s">
        <v>27</v>
      </c>
      <c r="F166" s="79">
        <v>5</v>
      </c>
      <c r="G166" s="79">
        <v>4</v>
      </c>
      <c r="H166" s="67">
        <v>3646.9</v>
      </c>
      <c r="I166" s="67">
        <v>3378.4</v>
      </c>
      <c r="J166" s="67">
        <f>3039.1-194.9</f>
        <v>2844.2</v>
      </c>
      <c r="K166" s="80">
        <v>147</v>
      </c>
      <c r="L166" s="83">
        <v>1814838</v>
      </c>
      <c r="M166" s="136">
        <v>0</v>
      </c>
      <c r="N166" s="136">
        <v>0</v>
      </c>
      <c r="O166" s="136">
        <v>0</v>
      </c>
      <c r="P166" s="77">
        <v>1814838</v>
      </c>
      <c r="Q166" s="72">
        <f t="shared" si="4"/>
        <v>537.18860999289598</v>
      </c>
      <c r="R166" s="73">
        <v>6774</v>
      </c>
      <c r="S166" s="137" t="s">
        <v>44</v>
      </c>
    </row>
    <row r="167" spans="1:19" x14ac:dyDescent="0.25">
      <c r="A167" s="73">
        <v>156</v>
      </c>
      <c r="B167" s="64" t="s">
        <v>142</v>
      </c>
      <c r="C167" s="78">
        <v>1974</v>
      </c>
      <c r="D167" s="74"/>
      <c r="E167" s="74" t="s">
        <v>26</v>
      </c>
      <c r="F167" s="79">
        <v>5</v>
      </c>
      <c r="G167" s="79">
        <v>4</v>
      </c>
      <c r="H167" s="67">
        <v>3091.3</v>
      </c>
      <c r="I167" s="67">
        <v>3029.3</v>
      </c>
      <c r="J167" s="67">
        <f>I167-302.8</f>
        <v>2726.5</v>
      </c>
      <c r="K167" s="80">
        <v>111</v>
      </c>
      <c r="L167" s="83">
        <v>676398.28</v>
      </c>
      <c r="M167" s="136">
        <v>0</v>
      </c>
      <c r="N167" s="136">
        <v>0</v>
      </c>
      <c r="O167" s="136">
        <v>0</v>
      </c>
      <c r="P167" s="77">
        <v>676398.28</v>
      </c>
      <c r="Q167" s="72">
        <f t="shared" si="4"/>
        <v>223.28533984748952</v>
      </c>
      <c r="R167" s="73">
        <v>6774</v>
      </c>
      <c r="S167" s="137" t="s">
        <v>44</v>
      </c>
    </row>
    <row r="168" spans="1:19" x14ac:dyDescent="0.25">
      <c r="A168" s="73">
        <v>157</v>
      </c>
      <c r="B168" s="64" t="s">
        <v>146</v>
      </c>
      <c r="C168" s="78">
        <v>1970</v>
      </c>
      <c r="D168" s="74"/>
      <c r="E168" s="74" t="s">
        <v>27</v>
      </c>
      <c r="F168" s="79">
        <v>5</v>
      </c>
      <c r="G168" s="79">
        <v>2</v>
      </c>
      <c r="H168" s="67">
        <v>1913.8</v>
      </c>
      <c r="I168" s="67">
        <f>1589+176.8</f>
        <v>1765.8</v>
      </c>
      <c r="J168" s="67">
        <f>1589-110.5</f>
        <v>1478.5</v>
      </c>
      <c r="K168" s="80">
        <v>75</v>
      </c>
      <c r="L168" s="83">
        <v>1127374.33</v>
      </c>
      <c r="M168" s="136">
        <v>0</v>
      </c>
      <c r="N168" s="136">
        <v>0</v>
      </c>
      <c r="O168" s="136">
        <v>0</v>
      </c>
      <c r="P168" s="77">
        <v>1127374.33</v>
      </c>
      <c r="Q168" s="72">
        <f t="shared" si="4"/>
        <v>638.44961490542539</v>
      </c>
      <c r="R168" s="73">
        <v>6774</v>
      </c>
      <c r="S168" s="137" t="s">
        <v>44</v>
      </c>
    </row>
    <row r="169" spans="1:19" x14ac:dyDescent="0.25">
      <c r="A169" s="73">
        <v>158</v>
      </c>
      <c r="B169" s="64" t="s">
        <v>153</v>
      </c>
      <c r="C169" s="78">
        <v>1984</v>
      </c>
      <c r="D169" s="74"/>
      <c r="E169" s="74" t="s">
        <v>27</v>
      </c>
      <c r="F169" s="79">
        <v>9</v>
      </c>
      <c r="G169" s="79">
        <v>2</v>
      </c>
      <c r="H169" s="67">
        <v>4752.3</v>
      </c>
      <c r="I169" s="67">
        <v>3952</v>
      </c>
      <c r="J169" s="67">
        <f>3691.8-225.7</f>
        <v>3466.1000000000004</v>
      </c>
      <c r="K169" s="80">
        <v>175</v>
      </c>
      <c r="L169" s="83">
        <v>1411363</v>
      </c>
      <c r="M169" s="136">
        <v>0</v>
      </c>
      <c r="N169" s="136">
        <v>0</v>
      </c>
      <c r="O169" s="136">
        <v>0</v>
      </c>
      <c r="P169" s="77">
        <v>1411363</v>
      </c>
      <c r="Q169" s="72">
        <f t="shared" si="4"/>
        <v>357.12626518218622</v>
      </c>
      <c r="R169" s="73">
        <v>6774</v>
      </c>
      <c r="S169" s="137" t="s">
        <v>44</v>
      </c>
    </row>
    <row r="170" spans="1:19" x14ac:dyDescent="0.25">
      <c r="A170" s="73">
        <v>159</v>
      </c>
      <c r="B170" s="64" t="s">
        <v>131</v>
      </c>
      <c r="C170" s="78">
        <v>1959</v>
      </c>
      <c r="D170" s="74"/>
      <c r="E170" s="74" t="s">
        <v>27</v>
      </c>
      <c r="F170" s="79">
        <v>2</v>
      </c>
      <c r="G170" s="79">
        <v>1</v>
      </c>
      <c r="H170" s="67">
        <f>371.9+30.8</f>
        <v>402.7</v>
      </c>
      <c r="I170" s="67">
        <v>371.9</v>
      </c>
      <c r="J170" s="67">
        <f>371.9-55.3</f>
        <v>316.59999999999997</v>
      </c>
      <c r="K170" s="80">
        <v>27</v>
      </c>
      <c r="L170" s="83">
        <v>703675.57</v>
      </c>
      <c r="M170" s="136">
        <v>0</v>
      </c>
      <c r="N170" s="136">
        <v>0</v>
      </c>
      <c r="O170" s="136">
        <v>0</v>
      </c>
      <c r="P170" s="77">
        <v>703675.57</v>
      </c>
      <c r="Q170" s="72">
        <f t="shared" si="4"/>
        <v>1892.1096262436138</v>
      </c>
      <c r="R170" s="73">
        <v>6774</v>
      </c>
      <c r="S170" s="137" t="s">
        <v>44</v>
      </c>
    </row>
    <row r="171" spans="1:19" x14ac:dyDescent="0.25">
      <c r="A171" s="73">
        <v>160</v>
      </c>
      <c r="B171" s="65" t="s">
        <v>130</v>
      </c>
      <c r="C171" s="78">
        <v>1966</v>
      </c>
      <c r="D171" s="74"/>
      <c r="E171" s="74" t="s">
        <v>27</v>
      </c>
      <c r="F171" s="79">
        <v>4</v>
      </c>
      <c r="G171" s="79">
        <v>4</v>
      </c>
      <c r="H171" s="67">
        <v>2740.8</v>
      </c>
      <c r="I171" s="67">
        <v>2546.4</v>
      </c>
      <c r="J171" s="67">
        <v>2546.4</v>
      </c>
      <c r="K171" s="80">
        <v>128</v>
      </c>
      <c r="L171" s="83">
        <v>2270396</v>
      </c>
      <c r="M171" s="136">
        <v>0</v>
      </c>
      <c r="N171" s="136">
        <v>0</v>
      </c>
      <c r="O171" s="136">
        <v>0</v>
      </c>
      <c r="P171" s="77">
        <v>2270396</v>
      </c>
      <c r="Q171" s="72">
        <f t="shared" si="4"/>
        <v>891.61011624253842</v>
      </c>
      <c r="R171" s="73">
        <v>6774</v>
      </c>
      <c r="S171" s="137" t="s">
        <v>44</v>
      </c>
    </row>
    <row r="172" spans="1:19" x14ac:dyDescent="0.25">
      <c r="A172" s="73">
        <v>161</v>
      </c>
      <c r="B172" s="65" t="s">
        <v>67</v>
      </c>
      <c r="C172" s="78">
        <v>1964</v>
      </c>
      <c r="D172" s="74"/>
      <c r="E172" s="74" t="s">
        <v>27</v>
      </c>
      <c r="F172" s="79">
        <v>4</v>
      </c>
      <c r="G172" s="79">
        <v>2</v>
      </c>
      <c r="H172" s="67">
        <v>1369.5</v>
      </c>
      <c r="I172" s="67">
        <v>1272.4000000000001</v>
      </c>
      <c r="J172" s="67">
        <f>1272.4-191.5</f>
        <v>1080.9000000000001</v>
      </c>
      <c r="K172" s="80">
        <v>67</v>
      </c>
      <c r="L172" s="83">
        <v>871988</v>
      </c>
      <c r="M172" s="136">
        <v>0</v>
      </c>
      <c r="N172" s="136">
        <v>0</v>
      </c>
      <c r="O172" s="136">
        <v>0</v>
      </c>
      <c r="P172" s="77">
        <v>871988</v>
      </c>
      <c r="Q172" s="72">
        <f t="shared" ref="Q172:Q179" si="5">L172/I172</f>
        <v>685.30965105312794</v>
      </c>
      <c r="R172" s="73">
        <v>6774</v>
      </c>
      <c r="S172" s="137" t="s">
        <v>44</v>
      </c>
    </row>
    <row r="173" spans="1:19" x14ac:dyDescent="0.25">
      <c r="A173" s="73">
        <v>162</v>
      </c>
      <c r="B173" s="65" t="s">
        <v>68</v>
      </c>
      <c r="C173" s="78">
        <v>1981</v>
      </c>
      <c r="D173" s="74"/>
      <c r="E173" s="74" t="s">
        <v>26</v>
      </c>
      <c r="F173" s="79">
        <v>9</v>
      </c>
      <c r="G173" s="79">
        <v>8</v>
      </c>
      <c r="H173" s="67">
        <v>17500.400000000001</v>
      </c>
      <c r="I173" s="67">
        <v>15698</v>
      </c>
      <c r="J173" s="67">
        <f>15698-588.6</f>
        <v>15109.4</v>
      </c>
      <c r="K173" s="80">
        <v>615</v>
      </c>
      <c r="L173" s="83">
        <v>15157758</v>
      </c>
      <c r="M173" s="136">
        <v>0</v>
      </c>
      <c r="N173" s="136">
        <v>0</v>
      </c>
      <c r="O173" s="136">
        <v>0</v>
      </c>
      <c r="P173" s="77">
        <v>15157758</v>
      </c>
      <c r="Q173" s="72">
        <f t="shared" si="5"/>
        <v>965.58529749012609</v>
      </c>
      <c r="R173" s="73">
        <v>6774</v>
      </c>
      <c r="S173" s="137" t="s">
        <v>44</v>
      </c>
    </row>
    <row r="174" spans="1:19" x14ac:dyDescent="0.25">
      <c r="A174" s="73">
        <v>163</v>
      </c>
      <c r="B174" s="64" t="s">
        <v>86</v>
      </c>
      <c r="C174" s="78">
        <v>1979</v>
      </c>
      <c r="D174" s="74"/>
      <c r="E174" s="74" t="s">
        <v>27</v>
      </c>
      <c r="F174" s="79">
        <v>5</v>
      </c>
      <c r="G174" s="79">
        <v>4</v>
      </c>
      <c r="H174" s="67">
        <v>3127.1</v>
      </c>
      <c r="I174" s="67">
        <v>2757</v>
      </c>
      <c r="J174" s="67">
        <v>2648</v>
      </c>
      <c r="K174" s="80">
        <v>125</v>
      </c>
      <c r="L174" s="83">
        <v>2346663</v>
      </c>
      <c r="M174" s="136">
        <v>0</v>
      </c>
      <c r="N174" s="136">
        <v>0</v>
      </c>
      <c r="O174" s="136">
        <v>0</v>
      </c>
      <c r="P174" s="77">
        <v>2346663</v>
      </c>
      <c r="Q174" s="72">
        <f t="shared" si="5"/>
        <v>851.16539717083788</v>
      </c>
      <c r="R174" s="73">
        <v>6774</v>
      </c>
      <c r="S174" s="137" t="s">
        <v>44</v>
      </c>
    </row>
    <row r="175" spans="1:19" ht="25.5" x14ac:dyDescent="0.25">
      <c r="A175" s="73">
        <v>164</v>
      </c>
      <c r="B175" s="65" t="s">
        <v>59</v>
      </c>
      <c r="C175" s="78">
        <v>1983</v>
      </c>
      <c r="D175" s="74"/>
      <c r="E175" s="74" t="s">
        <v>26</v>
      </c>
      <c r="F175" s="79">
        <v>5</v>
      </c>
      <c r="G175" s="79">
        <v>3</v>
      </c>
      <c r="H175" s="67">
        <v>2462</v>
      </c>
      <c r="I175" s="67">
        <v>2259.6999999999998</v>
      </c>
      <c r="J175" s="67">
        <v>2259.6999999999998</v>
      </c>
      <c r="K175" s="80">
        <v>76</v>
      </c>
      <c r="L175" s="83">
        <v>1313728</v>
      </c>
      <c r="M175" s="136">
        <v>0</v>
      </c>
      <c r="N175" s="136">
        <v>0</v>
      </c>
      <c r="O175" s="136">
        <v>0</v>
      </c>
      <c r="P175" s="77">
        <v>1313728</v>
      </c>
      <c r="Q175" s="72">
        <f t="shared" si="5"/>
        <v>581.3727485949463</v>
      </c>
      <c r="R175" s="73">
        <v>6774</v>
      </c>
      <c r="S175" s="137" t="s">
        <v>44</v>
      </c>
    </row>
    <row r="176" spans="1:19" x14ac:dyDescent="0.25">
      <c r="A176" s="73">
        <v>165</v>
      </c>
      <c r="B176" s="64" t="s">
        <v>184</v>
      </c>
      <c r="C176" s="78">
        <v>1984</v>
      </c>
      <c r="D176" s="74"/>
      <c r="E176" s="74" t="s">
        <v>26</v>
      </c>
      <c r="F176" s="79">
        <v>9</v>
      </c>
      <c r="G176" s="79">
        <v>2</v>
      </c>
      <c r="H176" s="67">
        <v>4409.3999999999996</v>
      </c>
      <c r="I176" s="67">
        <v>3852.5</v>
      </c>
      <c r="J176" s="67">
        <v>3852.5</v>
      </c>
      <c r="K176" s="80">
        <v>159</v>
      </c>
      <c r="L176" s="83">
        <v>3720676</v>
      </c>
      <c r="M176" s="136">
        <v>0</v>
      </c>
      <c r="N176" s="136">
        <v>0</v>
      </c>
      <c r="O176" s="136">
        <v>0</v>
      </c>
      <c r="P176" s="77">
        <v>3720676</v>
      </c>
      <c r="Q176" s="72">
        <f t="shared" si="5"/>
        <v>965.7822193380922</v>
      </c>
      <c r="R176" s="73">
        <v>6774</v>
      </c>
      <c r="S176" s="137" t="s">
        <v>44</v>
      </c>
    </row>
    <row r="177" spans="1:19" x14ac:dyDescent="0.25">
      <c r="A177" s="73">
        <v>166</v>
      </c>
      <c r="B177" s="65" t="s">
        <v>96</v>
      </c>
      <c r="C177" s="78">
        <v>1984</v>
      </c>
      <c r="D177" s="74"/>
      <c r="E177" s="74" t="s">
        <v>26</v>
      </c>
      <c r="F177" s="79">
        <v>9</v>
      </c>
      <c r="G177" s="79">
        <v>1</v>
      </c>
      <c r="H177" s="67">
        <v>2176.6999999999998</v>
      </c>
      <c r="I177" s="67">
        <v>1931.6</v>
      </c>
      <c r="J177" s="67">
        <f>1931.6-84.1</f>
        <v>1847.5</v>
      </c>
      <c r="K177" s="80">
        <v>104</v>
      </c>
      <c r="L177" s="83">
        <v>1910088</v>
      </c>
      <c r="M177" s="136">
        <v>0</v>
      </c>
      <c r="N177" s="136">
        <v>0</v>
      </c>
      <c r="O177" s="136">
        <v>0</v>
      </c>
      <c r="P177" s="77">
        <v>1910088</v>
      </c>
      <c r="Q177" s="72">
        <f t="shared" si="5"/>
        <v>988.86311865810728</v>
      </c>
      <c r="R177" s="73">
        <v>6774</v>
      </c>
      <c r="S177" s="137" t="s">
        <v>44</v>
      </c>
    </row>
    <row r="178" spans="1:19" x14ac:dyDescent="0.25">
      <c r="A178" s="73">
        <v>167</v>
      </c>
      <c r="B178" s="64" t="s">
        <v>65</v>
      </c>
      <c r="C178" s="78">
        <v>1964</v>
      </c>
      <c r="D178" s="74"/>
      <c r="E178" s="74" t="s">
        <v>27</v>
      </c>
      <c r="F178" s="79">
        <v>5</v>
      </c>
      <c r="G178" s="79">
        <v>4</v>
      </c>
      <c r="H178" s="67">
        <v>3546.4</v>
      </c>
      <c r="I178" s="67">
        <v>3310</v>
      </c>
      <c r="J178" s="67">
        <f>2518.7-27.7</f>
        <v>2491</v>
      </c>
      <c r="K178" s="80">
        <v>101</v>
      </c>
      <c r="L178" s="83">
        <v>1721850</v>
      </c>
      <c r="M178" s="136">
        <v>0</v>
      </c>
      <c r="N178" s="136">
        <v>0</v>
      </c>
      <c r="O178" s="136">
        <v>0</v>
      </c>
      <c r="P178" s="77">
        <v>1721850</v>
      </c>
      <c r="Q178" s="72">
        <f t="shared" si="5"/>
        <v>520.19637462235653</v>
      </c>
      <c r="R178" s="73">
        <v>6774</v>
      </c>
      <c r="S178" s="137" t="s">
        <v>44</v>
      </c>
    </row>
    <row r="179" spans="1:19" x14ac:dyDescent="0.25">
      <c r="A179" s="73">
        <v>168</v>
      </c>
      <c r="B179" s="65" t="s">
        <v>69</v>
      </c>
      <c r="C179" s="78">
        <v>1983</v>
      </c>
      <c r="D179" s="74"/>
      <c r="E179" s="74" t="s">
        <v>26</v>
      </c>
      <c r="F179" s="79">
        <v>9</v>
      </c>
      <c r="G179" s="79">
        <v>8</v>
      </c>
      <c r="H179" s="67">
        <v>17869.5</v>
      </c>
      <c r="I179" s="67">
        <v>16141.5</v>
      </c>
      <c r="J179" s="67">
        <f>16141.5-620</f>
        <v>15521.5</v>
      </c>
      <c r="K179" s="80">
        <v>658</v>
      </c>
      <c r="L179" s="83">
        <v>15157758</v>
      </c>
      <c r="M179" s="136">
        <v>0</v>
      </c>
      <c r="N179" s="136">
        <v>0</v>
      </c>
      <c r="O179" s="136">
        <v>0</v>
      </c>
      <c r="P179" s="77">
        <v>15157758</v>
      </c>
      <c r="Q179" s="72">
        <f t="shared" si="5"/>
        <v>939.05510640275065</v>
      </c>
      <c r="R179" s="73">
        <v>6774</v>
      </c>
      <c r="S179" s="137" t="s">
        <v>44</v>
      </c>
    </row>
    <row r="180" spans="1:19" x14ac:dyDescent="0.25">
      <c r="A180" s="145" t="s">
        <v>45</v>
      </c>
      <c r="B180" s="145"/>
      <c r="C180" s="74" t="s">
        <v>28</v>
      </c>
      <c r="D180" s="74" t="s">
        <v>28</v>
      </c>
      <c r="E180" s="74" t="s">
        <v>28</v>
      </c>
      <c r="F180" s="74" t="s">
        <v>28</v>
      </c>
      <c r="G180" s="74" t="s">
        <v>28</v>
      </c>
      <c r="H180" s="138">
        <f t="shared" ref="H180:P180" si="6">SUM(H12:H179)</f>
        <v>548258.5299999998</v>
      </c>
      <c r="I180" s="138">
        <f t="shared" si="6"/>
        <v>453144.06000000011</v>
      </c>
      <c r="J180" s="138">
        <f t="shared" si="6"/>
        <v>407287.85999999993</v>
      </c>
      <c r="K180" s="137">
        <f t="shared" si="6"/>
        <v>18992</v>
      </c>
      <c r="L180" s="138">
        <f t="shared" si="6"/>
        <v>343781324.48999989</v>
      </c>
      <c r="M180" s="138">
        <f t="shared" si="6"/>
        <v>0</v>
      </c>
      <c r="N180" s="138">
        <f t="shared" si="6"/>
        <v>0</v>
      </c>
      <c r="O180" s="138">
        <f t="shared" si="6"/>
        <v>0</v>
      </c>
      <c r="P180" s="138">
        <f t="shared" si="6"/>
        <v>343781324.48999989</v>
      </c>
      <c r="Q180" s="74" t="s">
        <v>28</v>
      </c>
      <c r="R180" s="74" t="s">
        <v>28</v>
      </c>
      <c r="S180" s="74" t="s">
        <v>28</v>
      </c>
    </row>
    <row r="181" spans="1:19" x14ac:dyDescent="0.25">
      <c r="A181" s="146" t="s">
        <v>47</v>
      </c>
      <c r="B181" s="147"/>
      <c r="C181" s="147"/>
      <c r="D181" s="147"/>
      <c r="E181" s="147"/>
      <c r="F181" s="147"/>
      <c r="G181" s="147"/>
      <c r="H181" s="147"/>
      <c r="I181" s="147"/>
      <c r="J181" s="147"/>
      <c r="K181" s="147"/>
      <c r="L181" s="147"/>
      <c r="M181" s="147"/>
      <c r="N181" s="147"/>
      <c r="O181" s="147"/>
      <c r="P181" s="147"/>
      <c r="Q181" s="147"/>
      <c r="R181" s="147"/>
      <c r="S181" s="148"/>
    </row>
    <row r="182" spans="1:19" x14ac:dyDescent="0.25">
      <c r="A182" s="70">
        <v>1</v>
      </c>
      <c r="B182" s="20"/>
      <c r="C182" s="2"/>
      <c r="D182" s="8"/>
      <c r="E182" s="35"/>
      <c r="F182" s="2"/>
      <c r="G182" s="2"/>
      <c r="H182" s="34"/>
      <c r="I182" s="34"/>
      <c r="J182" s="34"/>
      <c r="K182" s="21"/>
      <c r="L182" s="7"/>
      <c r="M182" s="1"/>
      <c r="N182" s="1"/>
      <c r="O182" s="1"/>
      <c r="P182" s="9"/>
      <c r="Q182" s="1"/>
      <c r="R182" s="69"/>
      <c r="S182" s="39"/>
    </row>
    <row r="183" spans="1:19" ht="15.75" thickBot="1" x14ac:dyDescent="0.3">
      <c r="A183" s="149" t="s">
        <v>45</v>
      </c>
      <c r="B183" s="150"/>
      <c r="C183" s="43" t="s">
        <v>28</v>
      </c>
      <c r="D183" s="43" t="s">
        <v>28</v>
      </c>
      <c r="E183" s="43" t="s">
        <v>28</v>
      </c>
      <c r="F183" s="43" t="s">
        <v>28</v>
      </c>
      <c r="G183" s="43" t="s">
        <v>28</v>
      </c>
      <c r="H183" s="44">
        <f t="shared" ref="H183:P183" si="7">H182</f>
        <v>0</v>
      </c>
      <c r="I183" s="44">
        <f t="shared" si="7"/>
        <v>0</v>
      </c>
      <c r="J183" s="44">
        <f t="shared" si="7"/>
        <v>0</v>
      </c>
      <c r="K183" s="45">
        <f t="shared" si="7"/>
        <v>0</v>
      </c>
      <c r="L183" s="46">
        <f t="shared" si="7"/>
        <v>0</v>
      </c>
      <c r="M183" s="44">
        <f t="shared" si="7"/>
        <v>0</v>
      </c>
      <c r="N183" s="44">
        <f t="shared" si="7"/>
        <v>0</v>
      </c>
      <c r="O183" s="44">
        <f t="shared" si="7"/>
        <v>0</v>
      </c>
      <c r="P183" s="47">
        <f t="shared" si="7"/>
        <v>0</v>
      </c>
      <c r="Q183" s="43" t="s">
        <v>28</v>
      </c>
      <c r="R183" s="43" t="s">
        <v>28</v>
      </c>
      <c r="S183" s="43" t="s">
        <v>28</v>
      </c>
    </row>
    <row r="184" spans="1:19" x14ac:dyDescent="0.25">
      <c r="A184" s="151" t="s">
        <v>48</v>
      </c>
      <c r="B184" s="152"/>
      <c r="C184" s="152"/>
      <c r="D184" s="152"/>
      <c r="E184" s="152"/>
      <c r="F184" s="152"/>
      <c r="G184" s="152"/>
      <c r="H184" s="152"/>
      <c r="I184" s="152"/>
      <c r="J184" s="152"/>
      <c r="K184" s="152"/>
      <c r="L184" s="152"/>
      <c r="M184" s="152"/>
      <c r="N184" s="152"/>
      <c r="O184" s="152"/>
      <c r="P184" s="152"/>
      <c r="Q184" s="152"/>
      <c r="R184" s="152"/>
      <c r="S184" s="153"/>
    </row>
    <row r="185" spans="1:19" x14ac:dyDescent="0.25">
      <c r="A185" s="70"/>
      <c r="B185" s="35" t="s">
        <v>28</v>
      </c>
      <c r="C185" s="35" t="s">
        <v>28</v>
      </c>
      <c r="D185" s="35" t="s">
        <v>28</v>
      </c>
      <c r="E185" s="35" t="s">
        <v>28</v>
      </c>
      <c r="F185" s="35" t="s">
        <v>28</v>
      </c>
      <c r="G185" s="35" t="s">
        <v>28</v>
      </c>
      <c r="H185" s="35" t="s">
        <v>28</v>
      </c>
      <c r="I185" s="35" t="s">
        <v>28</v>
      </c>
      <c r="J185" s="35" t="s">
        <v>28</v>
      </c>
      <c r="K185" s="35" t="s">
        <v>28</v>
      </c>
      <c r="L185" s="35" t="s">
        <v>28</v>
      </c>
      <c r="M185" s="35" t="s">
        <v>28</v>
      </c>
      <c r="N185" s="35" t="s">
        <v>28</v>
      </c>
      <c r="O185" s="35" t="s">
        <v>28</v>
      </c>
      <c r="P185" s="35" t="s">
        <v>28</v>
      </c>
      <c r="Q185" s="35" t="s">
        <v>28</v>
      </c>
      <c r="R185" s="35" t="s">
        <v>28</v>
      </c>
      <c r="S185" s="37" t="s">
        <v>28</v>
      </c>
    </row>
    <row r="186" spans="1:19" ht="15.75" thickBot="1" x14ac:dyDescent="0.3">
      <c r="A186" s="149" t="s">
        <v>45</v>
      </c>
      <c r="B186" s="150"/>
      <c r="C186" s="38" t="s">
        <v>28</v>
      </c>
      <c r="D186" s="38" t="s">
        <v>28</v>
      </c>
      <c r="E186" s="38" t="s">
        <v>28</v>
      </c>
      <c r="F186" s="38" t="s">
        <v>28</v>
      </c>
      <c r="G186" s="38" t="s">
        <v>28</v>
      </c>
      <c r="H186" s="38" t="s">
        <v>28</v>
      </c>
      <c r="I186" s="38" t="s">
        <v>28</v>
      </c>
      <c r="J186" s="38" t="s">
        <v>28</v>
      </c>
      <c r="K186" s="38" t="s">
        <v>28</v>
      </c>
      <c r="L186" s="38" t="s">
        <v>28</v>
      </c>
      <c r="M186" s="38" t="s">
        <v>28</v>
      </c>
      <c r="N186" s="38" t="s">
        <v>28</v>
      </c>
      <c r="O186" s="38" t="s">
        <v>28</v>
      </c>
      <c r="P186" s="38" t="s">
        <v>28</v>
      </c>
      <c r="Q186" s="38" t="s">
        <v>28</v>
      </c>
      <c r="R186" s="38" t="s">
        <v>28</v>
      </c>
      <c r="S186" s="38" t="s">
        <v>28</v>
      </c>
    </row>
    <row r="187" spans="1:19" ht="15.75" thickBot="1" x14ac:dyDescent="0.3">
      <c r="A187" s="143" t="s">
        <v>49</v>
      </c>
      <c r="B187" s="144" t="s">
        <v>49</v>
      </c>
      <c r="C187" s="43" t="s">
        <v>28</v>
      </c>
      <c r="D187" s="43" t="s">
        <v>28</v>
      </c>
      <c r="E187" s="43" t="s">
        <v>28</v>
      </c>
      <c r="F187" s="43" t="s">
        <v>28</v>
      </c>
      <c r="G187" s="43" t="s">
        <v>28</v>
      </c>
      <c r="H187" s="48">
        <f>H180+H183</f>
        <v>548258.5299999998</v>
      </c>
      <c r="I187" s="48">
        <f>I180+I183</f>
        <v>453144.06000000011</v>
      </c>
      <c r="J187" s="48">
        <f>J180+J183</f>
        <v>407287.85999999993</v>
      </c>
      <c r="K187" s="49">
        <f>K180+K183</f>
        <v>18992</v>
      </c>
      <c r="L187" s="48">
        <f>L180+L183</f>
        <v>343781324.48999989</v>
      </c>
      <c r="M187" s="42">
        <f>SUM(M146:M186)</f>
        <v>0</v>
      </c>
      <c r="N187" s="42">
        <f>SUM(N146:N186)</f>
        <v>0</v>
      </c>
      <c r="O187" s="42">
        <f>SUM(O146:O186)</f>
        <v>0</v>
      </c>
      <c r="P187" s="48">
        <f>P180+P183</f>
        <v>343781324.48999989</v>
      </c>
      <c r="Q187" s="43" t="s">
        <v>28</v>
      </c>
      <c r="R187" s="43" t="s">
        <v>28</v>
      </c>
      <c r="S187" s="43" t="s">
        <v>28</v>
      </c>
    </row>
    <row r="188" spans="1:19" ht="15" customHeight="1" x14ac:dyDescent="0.25">
      <c r="B188" s="10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</row>
    <row r="189" spans="1:19" ht="15" customHeight="1" x14ac:dyDescent="0.25">
      <c r="B189" s="10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</row>
    <row r="190" spans="1:19" ht="15" customHeight="1" x14ac:dyDescent="0.25">
      <c r="B190" s="10" t="s">
        <v>227</v>
      </c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17"/>
    </row>
    <row r="191" spans="1:19" ht="15" customHeight="1" x14ac:dyDescent="0.25">
      <c r="B191" s="10" t="s">
        <v>228</v>
      </c>
      <c r="C191" s="23"/>
      <c r="D191" s="23"/>
      <c r="E191" s="23"/>
      <c r="F191" s="23"/>
      <c r="G191" s="134"/>
      <c r="H191" s="134"/>
      <c r="I191" s="23" t="s">
        <v>229</v>
      </c>
      <c r="J191" s="23"/>
      <c r="K191" s="23"/>
      <c r="L191" s="23"/>
      <c r="M191" s="23"/>
      <c r="N191" s="23"/>
      <c r="O191" s="23"/>
      <c r="P191" s="23"/>
      <c r="Q191" s="23"/>
      <c r="R191" s="23"/>
      <c r="S191" s="17"/>
    </row>
    <row r="192" spans="1:19" ht="15" customHeight="1" x14ac:dyDescent="0.25">
      <c r="B192" s="10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17"/>
    </row>
    <row r="193" spans="2:19" ht="15" customHeight="1" x14ac:dyDescent="0.25"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17"/>
    </row>
    <row r="194" spans="2:19" ht="15" customHeight="1" x14ac:dyDescent="0.25">
      <c r="B194" s="23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23"/>
      <c r="N194" s="23"/>
      <c r="O194" s="23"/>
      <c r="P194" s="23"/>
      <c r="Q194" s="23"/>
      <c r="R194" s="23"/>
      <c r="S194" s="17"/>
    </row>
    <row r="195" spans="2:19" ht="15" customHeight="1" x14ac:dyDescent="0.25">
      <c r="B195" s="18" t="s">
        <v>29</v>
      </c>
      <c r="C195" s="18"/>
      <c r="D195" s="18"/>
      <c r="E195" s="18"/>
      <c r="F195" s="18"/>
      <c r="G195" s="18"/>
      <c r="H195" s="18"/>
      <c r="I195" s="18"/>
      <c r="J195" s="18"/>
      <c r="K195" s="18"/>
      <c r="L195" s="18" t="s">
        <v>29</v>
      </c>
      <c r="M195" s="23"/>
      <c r="N195" s="23"/>
      <c r="O195" s="23"/>
      <c r="P195" s="23"/>
      <c r="Q195" s="23"/>
      <c r="R195" s="23"/>
      <c r="S195" s="17"/>
    </row>
    <row r="196" spans="2:19" ht="15" customHeight="1" x14ac:dyDescent="0.25">
      <c r="B196" s="18" t="s">
        <v>30</v>
      </c>
      <c r="C196" s="18"/>
      <c r="D196" s="18"/>
      <c r="E196" s="18"/>
      <c r="F196" s="18"/>
      <c r="G196" s="18"/>
      <c r="H196" s="18"/>
      <c r="I196" s="18"/>
      <c r="J196" s="18"/>
      <c r="K196" s="18"/>
      <c r="L196" s="18" t="s">
        <v>51</v>
      </c>
      <c r="M196" s="23"/>
      <c r="N196" s="23"/>
      <c r="O196" s="23"/>
      <c r="P196" s="23"/>
      <c r="Q196" s="23"/>
      <c r="R196" s="23"/>
      <c r="S196" s="17"/>
    </row>
    <row r="197" spans="2:19" ht="15.75" x14ac:dyDescent="0.25">
      <c r="B197" s="18" t="s">
        <v>34</v>
      </c>
      <c r="C197" s="23"/>
      <c r="D197" s="23"/>
      <c r="E197" s="23"/>
      <c r="F197" s="23"/>
      <c r="G197" s="23"/>
      <c r="H197" s="23"/>
      <c r="I197" s="23"/>
      <c r="J197" s="23"/>
      <c r="K197" s="23"/>
      <c r="L197" s="18" t="s">
        <v>52</v>
      </c>
      <c r="M197" s="23"/>
      <c r="N197" s="23"/>
      <c r="O197" s="23"/>
      <c r="P197" s="23"/>
      <c r="Q197" s="23"/>
      <c r="R197" s="23"/>
      <c r="S197" s="17"/>
    </row>
    <row r="198" spans="2:19" ht="15.75" x14ac:dyDescent="0.25"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</row>
  </sheetData>
  <mergeCells count="29">
    <mergeCell ref="M1:S1"/>
    <mergeCell ref="A4:S4"/>
    <mergeCell ref="A5:S5"/>
    <mergeCell ref="A6:A9"/>
    <mergeCell ref="B6:B9"/>
    <mergeCell ref="C6:D6"/>
    <mergeCell ref="E6:E9"/>
    <mergeCell ref="F6:F9"/>
    <mergeCell ref="G6:G9"/>
    <mergeCell ref="H6:H8"/>
    <mergeCell ref="C7:C9"/>
    <mergeCell ref="D7:D9"/>
    <mergeCell ref="I7:I8"/>
    <mergeCell ref="J7:J8"/>
    <mergeCell ref="L7:L8"/>
    <mergeCell ref="M7:P7"/>
    <mergeCell ref="L6:P6"/>
    <mergeCell ref="Q6:Q8"/>
    <mergeCell ref="R6:R8"/>
    <mergeCell ref="A187:B187"/>
    <mergeCell ref="A180:B180"/>
    <mergeCell ref="A181:S181"/>
    <mergeCell ref="A183:B183"/>
    <mergeCell ref="A184:S184"/>
    <mergeCell ref="A186:B186"/>
    <mergeCell ref="A11:S11"/>
    <mergeCell ref="S6:S9"/>
    <mergeCell ref="I6:J6"/>
    <mergeCell ref="K6:K8"/>
  </mergeCells>
  <pageMargins left="0.31496062992125984" right="0.27559055118110237" top="0.47244094488188981" bottom="0.70866141732283472" header="0.31496062992125984" footer="0.31496062992125984"/>
  <pageSetup paperSize="9" scale="60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5"/>
  <sheetViews>
    <sheetView view="pageBreakPreview" zoomScale="75" zoomScaleNormal="75" zoomScaleSheetLayoutView="75" workbookViewId="0">
      <selection activeCell="B115" sqref="B115"/>
    </sheetView>
  </sheetViews>
  <sheetFormatPr defaultRowHeight="15" x14ac:dyDescent="0.25"/>
  <cols>
    <col min="1" max="1" width="4.140625" customWidth="1"/>
    <col min="2" max="2" width="36" customWidth="1"/>
    <col min="3" max="3" width="18.28515625" style="22" customWidth="1"/>
    <col min="4" max="4" width="15.5703125" customWidth="1"/>
    <col min="5" max="5" width="13.85546875" customWidth="1"/>
    <col min="6" max="6" width="14.140625" customWidth="1"/>
    <col min="7" max="7" width="13.7109375" customWidth="1"/>
    <col min="8" max="8" width="14.7109375" customWidth="1"/>
    <col min="9" max="9" width="13.85546875" customWidth="1"/>
    <col min="10" max="10" width="12" customWidth="1"/>
    <col min="11" max="11" width="7" customWidth="1"/>
    <col min="12" max="12" width="16" customWidth="1"/>
    <col min="13" max="13" width="12" customWidth="1"/>
    <col min="14" max="14" width="15.5703125" customWidth="1"/>
    <col min="15" max="15" width="9.28515625" customWidth="1"/>
    <col min="16" max="16" width="12.85546875" customWidth="1"/>
    <col min="17" max="17" width="11.140625" customWidth="1"/>
    <col min="18" max="18" width="15.42578125" customWidth="1"/>
    <col min="19" max="20" width="9.28515625" customWidth="1"/>
    <col min="21" max="21" width="12.42578125" hidden="1" customWidth="1"/>
    <col min="22" max="23" width="13.5703125" hidden="1" customWidth="1"/>
    <col min="24" max="24" width="13.28515625" customWidth="1"/>
  </cols>
  <sheetData>
    <row r="1" spans="1:25" x14ac:dyDescent="0.25">
      <c r="B1" s="86"/>
    </row>
    <row r="2" spans="1:25" ht="20.25" customHeight="1" thickBot="1" x14ac:dyDescent="0.3">
      <c r="A2" s="173" t="s">
        <v>230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87"/>
      <c r="V2" s="87"/>
      <c r="W2" s="87"/>
      <c r="X2" s="88"/>
      <c r="Y2" s="89"/>
    </row>
    <row r="3" spans="1:25" ht="15" customHeight="1" x14ac:dyDescent="0.25">
      <c r="A3" s="174" t="s">
        <v>231</v>
      </c>
      <c r="B3" s="166" t="s">
        <v>25</v>
      </c>
      <c r="C3" s="178" t="s">
        <v>232</v>
      </c>
      <c r="D3" s="166" t="s">
        <v>233</v>
      </c>
      <c r="E3" s="180"/>
      <c r="F3" s="180"/>
      <c r="G3" s="180"/>
      <c r="H3" s="180"/>
      <c r="I3" s="180"/>
      <c r="J3" s="180"/>
      <c r="K3" s="166" t="s">
        <v>234</v>
      </c>
      <c r="L3" s="181"/>
      <c r="M3" s="166" t="s">
        <v>235</v>
      </c>
      <c r="N3" s="183"/>
      <c r="O3" s="166" t="s">
        <v>236</v>
      </c>
      <c r="P3" s="183"/>
      <c r="Q3" s="166" t="s">
        <v>237</v>
      </c>
      <c r="R3" s="183"/>
      <c r="S3" s="166" t="s">
        <v>238</v>
      </c>
      <c r="T3" s="183"/>
      <c r="U3" s="166" t="s">
        <v>239</v>
      </c>
      <c r="V3" s="166" t="s">
        <v>240</v>
      </c>
      <c r="W3" s="90"/>
      <c r="X3" s="169" t="s">
        <v>241</v>
      </c>
      <c r="Y3" s="89"/>
    </row>
    <row r="4" spans="1:25" ht="165.75" customHeight="1" x14ac:dyDescent="0.25">
      <c r="A4" s="175"/>
      <c r="B4" s="168"/>
      <c r="C4" s="179"/>
      <c r="D4" s="91" t="s">
        <v>242</v>
      </c>
      <c r="E4" s="92" t="s">
        <v>243</v>
      </c>
      <c r="F4" s="92" t="s">
        <v>244</v>
      </c>
      <c r="G4" s="92" t="s">
        <v>245</v>
      </c>
      <c r="H4" s="92" t="s">
        <v>246</v>
      </c>
      <c r="I4" s="92" t="s">
        <v>247</v>
      </c>
      <c r="J4" s="92" t="s">
        <v>248</v>
      </c>
      <c r="K4" s="182"/>
      <c r="L4" s="182"/>
      <c r="M4" s="184"/>
      <c r="N4" s="184"/>
      <c r="O4" s="184"/>
      <c r="P4" s="184"/>
      <c r="Q4" s="184"/>
      <c r="R4" s="184"/>
      <c r="S4" s="184"/>
      <c r="T4" s="184"/>
      <c r="U4" s="167"/>
      <c r="V4" s="168"/>
      <c r="W4" s="91" t="s">
        <v>249</v>
      </c>
      <c r="X4" s="170"/>
      <c r="Y4" s="89"/>
    </row>
    <row r="5" spans="1:25" ht="15.75" thickBot="1" x14ac:dyDescent="0.3">
      <c r="A5" s="176"/>
      <c r="B5" s="177"/>
      <c r="C5" s="94"/>
      <c r="D5" s="93"/>
      <c r="E5" s="93" t="s">
        <v>22</v>
      </c>
      <c r="F5" s="93" t="s">
        <v>22</v>
      </c>
      <c r="G5" s="93" t="s">
        <v>22</v>
      </c>
      <c r="H5" s="93" t="s">
        <v>22</v>
      </c>
      <c r="I5" s="93" t="s">
        <v>22</v>
      </c>
      <c r="J5" s="93" t="s">
        <v>22</v>
      </c>
      <c r="K5" s="93" t="s">
        <v>35</v>
      </c>
      <c r="L5" s="93" t="s">
        <v>22</v>
      </c>
      <c r="M5" s="93" t="s">
        <v>36</v>
      </c>
      <c r="N5" s="93" t="s">
        <v>22</v>
      </c>
      <c r="O5" s="93" t="s">
        <v>36</v>
      </c>
      <c r="P5" s="93" t="s">
        <v>22</v>
      </c>
      <c r="Q5" s="93" t="s">
        <v>36</v>
      </c>
      <c r="R5" s="93" t="s">
        <v>22</v>
      </c>
      <c r="S5" s="93" t="s">
        <v>250</v>
      </c>
      <c r="T5" s="93" t="s">
        <v>22</v>
      </c>
      <c r="U5" s="93" t="s">
        <v>22</v>
      </c>
      <c r="V5" s="93" t="s">
        <v>22</v>
      </c>
      <c r="W5" s="93"/>
      <c r="X5" s="95"/>
      <c r="Y5" s="89"/>
    </row>
    <row r="6" spans="1:25" ht="15.75" thickBot="1" x14ac:dyDescent="0.3">
      <c r="A6" s="96">
        <v>1</v>
      </c>
      <c r="B6" s="97">
        <v>2</v>
      </c>
      <c r="C6" s="98">
        <v>3</v>
      </c>
      <c r="D6" s="97">
        <v>4</v>
      </c>
      <c r="E6" s="97">
        <v>5</v>
      </c>
      <c r="F6" s="97">
        <v>6</v>
      </c>
      <c r="G6" s="97">
        <v>7</v>
      </c>
      <c r="H6" s="97">
        <v>8</v>
      </c>
      <c r="I6" s="97">
        <v>9</v>
      </c>
      <c r="J6" s="97">
        <v>10</v>
      </c>
      <c r="K6" s="97">
        <v>11</v>
      </c>
      <c r="L6" s="97">
        <v>12</v>
      </c>
      <c r="M6" s="97">
        <v>13</v>
      </c>
      <c r="N6" s="97">
        <v>14</v>
      </c>
      <c r="O6" s="97">
        <v>15</v>
      </c>
      <c r="P6" s="97">
        <v>16</v>
      </c>
      <c r="Q6" s="97">
        <v>17</v>
      </c>
      <c r="R6" s="97">
        <v>18</v>
      </c>
      <c r="S6" s="97">
        <v>19</v>
      </c>
      <c r="T6" s="97">
        <v>20</v>
      </c>
      <c r="U6" s="97">
        <v>21</v>
      </c>
      <c r="V6" s="97">
        <v>22</v>
      </c>
      <c r="W6" s="97">
        <v>23</v>
      </c>
      <c r="X6" s="99">
        <v>21</v>
      </c>
    </row>
    <row r="7" spans="1:25" ht="29.25" customHeight="1" x14ac:dyDescent="0.25">
      <c r="A7" s="171" t="s">
        <v>33</v>
      </c>
      <c r="B7" s="172"/>
      <c r="C7" s="100">
        <f>D7+L7+N7+P7+R7+T7</f>
        <v>343781324.49000001</v>
      </c>
      <c r="D7" s="101">
        <f t="shared" ref="D7:T7" si="0">SUM(D8:D175)</f>
        <v>91119424.609999999</v>
      </c>
      <c r="E7" s="101">
        <f t="shared" si="0"/>
        <v>19344776.879999999</v>
      </c>
      <c r="F7" s="101">
        <f t="shared" si="0"/>
        <v>27069183.739999998</v>
      </c>
      <c r="G7" s="101">
        <f t="shared" si="0"/>
        <v>14990547.66</v>
      </c>
      <c r="H7" s="101">
        <f t="shared" si="0"/>
        <v>20768198.870000001</v>
      </c>
      <c r="I7" s="101">
        <f t="shared" si="0"/>
        <v>8628743.0799999982</v>
      </c>
      <c r="J7" s="101">
        <f t="shared" si="0"/>
        <v>317974.38</v>
      </c>
      <c r="K7" s="101">
        <f t="shared" si="0"/>
        <v>45</v>
      </c>
      <c r="L7" s="101">
        <f t="shared" si="0"/>
        <v>84665200</v>
      </c>
      <c r="M7" s="101">
        <f t="shared" si="0"/>
        <v>64824.649999999994</v>
      </c>
      <c r="N7" s="101">
        <f t="shared" si="0"/>
        <v>129067437.93000001</v>
      </c>
      <c r="O7" s="101">
        <f t="shared" si="0"/>
        <v>682</v>
      </c>
      <c r="P7" s="101">
        <f t="shared" si="0"/>
        <v>673312</v>
      </c>
      <c r="Q7" s="101">
        <f t="shared" si="0"/>
        <v>29106.85</v>
      </c>
      <c r="R7" s="101">
        <f t="shared" si="0"/>
        <v>38255949.950000003</v>
      </c>
      <c r="S7" s="101">
        <f t="shared" si="0"/>
        <v>0</v>
      </c>
      <c r="T7" s="101">
        <f t="shared" si="0"/>
        <v>0</v>
      </c>
      <c r="U7" s="102" t="e">
        <f>SUM(U50:U90)</f>
        <v>#REF!</v>
      </c>
      <c r="V7" s="102" t="e">
        <f>SUM(V50:V90)</f>
        <v>#REF!</v>
      </c>
      <c r="W7" s="102" t="e">
        <f>SUM(W50:W90)</f>
        <v>#REF!</v>
      </c>
      <c r="X7" s="103"/>
    </row>
    <row r="8" spans="1:25" ht="15" customHeight="1" x14ac:dyDescent="0.25">
      <c r="A8" s="104">
        <v>1</v>
      </c>
      <c r="B8" s="64" t="s">
        <v>82</v>
      </c>
      <c r="C8" s="66">
        <f>D8+L8+N8+P8+R8+T8</f>
        <v>437998.57</v>
      </c>
      <c r="D8" s="105">
        <f t="shared" ref="D8:D72" si="1">SUM(E8:J8)</f>
        <v>437998.57</v>
      </c>
      <c r="E8" s="105">
        <v>0</v>
      </c>
      <c r="F8" s="105">
        <v>0</v>
      </c>
      <c r="G8" s="105">
        <v>0</v>
      </c>
      <c r="H8" s="105">
        <v>437998.57</v>
      </c>
      <c r="I8" s="105">
        <v>0</v>
      </c>
      <c r="J8" s="105">
        <v>0</v>
      </c>
      <c r="K8" s="106">
        <v>0</v>
      </c>
      <c r="L8" s="105">
        <v>0</v>
      </c>
      <c r="M8" s="107">
        <v>0</v>
      </c>
      <c r="N8" s="105">
        <v>0</v>
      </c>
      <c r="O8" s="106">
        <v>0</v>
      </c>
      <c r="P8" s="105">
        <v>0</v>
      </c>
      <c r="Q8" s="107">
        <v>0</v>
      </c>
      <c r="R8" s="105">
        <v>0</v>
      </c>
      <c r="S8" s="106">
        <v>0</v>
      </c>
      <c r="T8" s="105">
        <v>0</v>
      </c>
      <c r="U8" s="108"/>
      <c r="V8" s="108"/>
      <c r="W8" s="108"/>
      <c r="X8" s="109"/>
    </row>
    <row r="9" spans="1:25" s="89" customFormat="1" ht="15" customHeight="1" x14ac:dyDescent="0.25">
      <c r="A9" s="104">
        <v>2</v>
      </c>
      <c r="B9" s="64" t="s">
        <v>258</v>
      </c>
      <c r="C9" s="66">
        <f t="shared" ref="C9:C72" si="2">D9+L9+N9+P9+R9+T9</f>
        <v>651523.25</v>
      </c>
      <c r="D9" s="105">
        <f t="shared" si="1"/>
        <v>651523.25</v>
      </c>
      <c r="E9" s="105">
        <v>110345.92</v>
      </c>
      <c r="F9" s="105">
        <v>0</v>
      </c>
      <c r="G9" s="105">
        <v>398322.15</v>
      </c>
      <c r="H9" s="105">
        <v>0</v>
      </c>
      <c r="I9" s="105">
        <v>142855.18</v>
      </c>
      <c r="J9" s="105">
        <v>0</v>
      </c>
      <c r="K9" s="106">
        <v>0</v>
      </c>
      <c r="L9" s="105">
        <v>0</v>
      </c>
      <c r="M9" s="107">
        <v>0</v>
      </c>
      <c r="N9" s="105">
        <v>0</v>
      </c>
      <c r="O9" s="106">
        <v>0</v>
      </c>
      <c r="P9" s="105">
        <v>0</v>
      </c>
      <c r="Q9" s="107">
        <v>0</v>
      </c>
      <c r="R9" s="105">
        <v>0</v>
      </c>
      <c r="S9" s="106">
        <v>0</v>
      </c>
      <c r="T9" s="105">
        <v>0</v>
      </c>
      <c r="U9" s="105"/>
      <c r="V9" s="105"/>
      <c r="W9" s="105"/>
      <c r="X9" s="110"/>
    </row>
    <row r="10" spans="1:25" ht="15" customHeight="1" x14ac:dyDescent="0.25">
      <c r="A10" s="104">
        <v>3</v>
      </c>
      <c r="B10" s="64" t="s">
        <v>157</v>
      </c>
      <c r="C10" s="66">
        <f t="shared" si="2"/>
        <v>560421</v>
      </c>
      <c r="D10" s="105">
        <f t="shared" si="1"/>
        <v>560421</v>
      </c>
      <c r="E10" s="105">
        <v>0</v>
      </c>
      <c r="F10" s="105">
        <v>560421</v>
      </c>
      <c r="G10" s="105">
        <v>0</v>
      </c>
      <c r="H10" s="105">
        <v>0</v>
      </c>
      <c r="I10" s="105">
        <v>0</v>
      </c>
      <c r="J10" s="105">
        <v>0</v>
      </c>
      <c r="K10" s="106">
        <v>0</v>
      </c>
      <c r="L10" s="105">
        <v>0</v>
      </c>
      <c r="M10" s="107">
        <v>0</v>
      </c>
      <c r="N10" s="105">
        <v>0</v>
      </c>
      <c r="O10" s="106">
        <v>0</v>
      </c>
      <c r="P10" s="105">
        <v>0</v>
      </c>
      <c r="Q10" s="107">
        <v>0</v>
      </c>
      <c r="R10" s="105">
        <v>0</v>
      </c>
      <c r="S10" s="106">
        <v>0</v>
      </c>
      <c r="T10" s="105">
        <v>0</v>
      </c>
      <c r="U10" s="105"/>
      <c r="V10" s="105"/>
      <c r="W10" s="105"/>
      <c r="X10" s="110"/>
    </row>
    <row r="11" spans="1:25" ht="15" customHeight="1" x14ac:dyDescent="0.25">
      <c r="A11" s="104">
        <v>4</v>
      </c>
      <c r="B11" s="64" t="s">
        <v>191</v>
      </c>
      <c r="C11" s="66">
        <f t="shared" si="2"/>
        <v>698585</v>
      </c>
      <c r="D11" s="105">
        <f t="shared" si="1"/>
        <v>698585</v>
      </c>
      <c r="E11" s="105">
        <v>698585</v>
      </c>
      <c r="F11" s="105">
        <v>0</v>
      </c>
      <c r="G11" s="105">
        <v>0</v>
      </c>
      <c r="H11" s="105">
        <v>0</v>
      </c>
      <c r="I11" s="105">
        <v>0</v>
      </c>
      <c r="J11" s="105">
        <v>0</v>
      </c>
      <c r="K11" s="106">
        <v>0</v>
      </c>
      <c r="L11" s="105">
        <v>0</v>
      </c>
      <c r="M11" s="107">
        <v>0</v>
      </c>
      <c r="N11" s="105">
        <v>0</v>
      </c>
      <c r="O11" s="106">
        <v>0</v>
      </c>
      <c r="P11" s="105">
        <v>0</v>
      </c>
      <c r="Q11" s="107">
        <v>0</v>
      </c>
      <c r="R11" s="105">
        <v>0</v>
      </c>
      <c r="S11" s="106">
        <v>0</v>
      </c>
      <c r="T11" s="105">
        <v>0</v>
      </c>
      <c r="U11" s="105"/>
      <c r="V11" s="105"/>
      <c r="W11" s="105"/>
      <c r="X11" s="110"/>
    </row>
    <row r="12" spans="1:25" ht="15" customHeight="1" x14ac:dyDescent="0.25">
      <c r="A12" s="104">
        <v>5</v>
      </c>
      <c r="B12" s="64" t="s">
        <v>106</v>
      </c>
      <c r="C12" s="66">
        <f t="shared" si="2"/>
        <v>178272.59</v>
      </c>
      <c r="D12" s="105">
        <f t="shared" si="1"/>
        <v>178272.59</v>
      </c>
      <c r="E12" s="105">
        <v>178272.59</v>
      </c>
      <c r="F12" s="105">
        <v>0</v>
      </c>
      <c r="G12" s="105">
        <v>0</v>
      </c>
      <c r="H12" s="105">
        <v>0</v>
      </c>
      <c r="I12" s="105">
        <v>0</v>
      </c>
      <c r="J12" s="105">
        <v>0</v>
      </c>
      <c r="K12" s="106">
        <v>0</v>
      </c>
      <c r="L12" s="105">
        <v>0</v>
      </c>
      <c r="M12" s="107">
        <v>0</v>
      </c>
      <c r="N12" s="105">
        <v>0</v>
      </c>
      <c r="O12" s="106">
        <v>0</v>
      </c>
      <c r="P12" s="105">
        <v>0</v>
      </c>
      <c r="Q12" s="107">
        <v>0</v>
      </c>
      <c r="R12" s="105">
        <v>0</v>
      </c>
      <c r="S12" s="106">
        <v>0</v>
      </c>
      <c r="T12" s="105">
        <v>0</v>
      </c>
      <c r="U12" s="108"/>
      <c r="V12" s="108"/>
      <c r="W12" s="108"/>
      <c r="X12" s="109"/>
    </row>
    <row r="13" spans="1:25" ht="15" customHeight="1" x14ac:dyDescent="0.25">
      <c r="A13" s="104">
        <v>6</v>
      </c>
      <c r="B13" s="64" t="s">
        <v>118</v>
      </c>
      <c r="C13" s="66">
        <f t="shared" si="2"/>
        <v>744461</v>
      </c>
      <c r="D13" s="105">
        <f t="shared" si="1"/>
        <v>744461</v>
      </c>
      <c r="E13" s="66">
        <v>744461</v>
      </c>
      <c r="F13" s="105">
        <v>0</v>
      </c>
      <c r="G13" s="105">
        <v>0</v>
      </c>
      <c r="H13" s="105">
        <v>0</v>
      </c>
      <c r="I13" s="105">
        <v>0</v>
      </c>
      <c r="J13" s="105">
        <v>0</v>
      </c>
      <c r="K13" s="106">
        <v>0</v>
      </c>
      <c r="L13" s="105">
        <v>0</v>
      </c>
      <c r="M13" s="107">
        <v>0</v>
      </c>
      <c r="N13" s="105">
        <v>0</v>
      </c>
      <c r="O13" s="106">
        <v>0</v>
      </c>
      <c r="P13" s="105">
        <v>0</v>
      </c>
      <c r="Q13" s="107">
        <v>0</v>
      </c>
      <c r="R13" s="105">
        <v>0</v>
      </c>
      <c r="S13" s="106">
        <v>0</v>
      </c>
      <c r="T13" s="105">
        <v>0</v>
      </c>
      <c r="U13" s="105"/>
      <c r="V13" s="105"/>
      <c r="W13" s="105"/>
      <c r="X13" s="110"/>
    </row>
    <row r="14" spans="1:25" ht="15" customHeight="1" x14ac:dyDescent="0.25">
      <c r="A14" s="104">
        <v>7</v>
      </c>
      <c r="B14" s="64" t="s">
        <v>164</v>
      </c>
      <c r="C14" s="66">
        <f t="shared" si="2"/>
        <v>1118494</v>
      </c>
      <c r="D14" s="105">
        <f t="shared" si="1"/>
        <v>1118494</v>
      </c>
      <c r="E14" s="105">
        <v>1118494</v>
      </c>
      <c r="F14" s="105">
        <v>0</v>
      </c>
      <c r="G14" s="105">
        <v>0</v>
      </c>
      <c r="H14" s="105">
        <v>0</v>
      </c>
      <c r="I14" s="105">
        <v>0</v>
      </c>
      <c r="J14" s="105">
        <v>0</v>
      </c>
      <c r="K14" s="106">
        <v>0</v>
      </c>
      <c r="L14" s="105">
        <v>0</v>
      </c>
      <c r="M14" s="107">
        <v>0</v>
      </c>
      <c r="N14" s="105">
        <v>0</v>
      </c>
      <c r="O14" s="106">
        <v>0</v>
      </c>
      <c r="P14" s="105">
        <v>0</v>
      </c>
      <c r="Q14" s="107">
        <v>0</v>
      </c>
      <c r="R14" s="105">
        <v>0</v>
      </c>
      <c r="S14" s="106">
        <v>0</v>
      </c>
      <c r="T14" s="105">
        <v>0</v>
      </c>
      <c r="U14" s="105"/>
      <c r="V14" s="105"/>
      <c r="W14" s="105"/>
      <c r="X14" s="110"/>
    </row>
    <row r="15" spans="1:25" ht="15" customHeight="1" x14ac:dyDescent="0.25">
      <c r="A15" s="104">
        <v>8</v>
      </c>
      <c r="B15" s="64" t="s">
        <v>143</v>
      </c>
      <c r="C15" s="66">
        <f t="shared" si="2"/>
        <v>1760967.35</v>
      </c>
      <c r="D15" s="105">
        <f t="shared" si="1"/>
        <v>0</v>
      </c>
      <c r="E15" s="105">
        <v>0</v>
      </c>
      <c r="F15" s="105">
        <v>0</v>
      </c>
      <c r="G15" s="105">
        <v>0</v>
      </c>
      <c r="H15" s="105">
        <v>0</v>
      </c>
      <c r="I15" s="105">
        <v>0</v>
      </c>
      <c r="J15" s="105">
        <v>0</v>
      </c>
      <c r="K15" s="106">
        <v>0</v>
      </c>
      <c r="L15" s="105">
        <v>0</v>
      </c>
      <c r="M15" s="112">
        <v>881</v>
      </c>
      <c r="N15" s="105">
        <v>1760967.35</v>
      </c>
      <c r="O15" s="106">
        <v>0</v>
      </c>
      <c r="P15" s="105">
        <v>0</v>
      </c>
      <c r="Q15" s="107">
        <v>0</v>
      </c>
      <c r="R15" s="105">
        <v>0</v>
      </c>
      <c r="S15" s="106">
        <v>0</v>
      </c>
      <c r="T15" s="105">
        <v>0</v>
      </c>
      <c r="U15" s="105"/>
      <c r="V15" s="105"/>
      <c r="W15" s="105"/>
      <c r="X15" s="110"/>
    </row>
    <row r="16" spans="1:25" ht="15" customHeight="1" x14ac:dyDescent="0.25">
      <c r="A16" s="104">
        <v>9</v>
      </c>
      <c r="B16" s="64" t="s">
        <v>107</v>
      </c>
      <c r="C16" s="66">
        <f t="shared" si="2"/>
        <v>682623</v>
      </c>
      <c r="D16" s="105">
        <f t="shared" si="1"/>
        <v>91396</v>
      </c>
      <c r="E16" s="105">
        <v>91396</v>
      </c>
      <c r="F16" s="105">
        <v>0</v>
      </c>
      <c r="G16" s="105">
        <v>0</v>
      </c>
      <c r="H16" s="105">
        <v>0</v>
      </c>
      <c r="I16" s="105">
        <v>0</v>
      </c>
      <c r="J16" s="105">
        <v>0</v>
      </c>
      <c r="K16" s="106">
        <v>0</v>
      </c>
      <c r="L16" s="105">
        <v>0</v>
      </c>
      <c r="M16" s="106">
        <v>0</v>
      </c>
      <c r="N16" s="105">
        <v>0</v>
      </c>
      <c r="O16" s="106">
        <v>0</v>
      </c>
      <c r="P16" s="105">
        <v>0</v>
      </c>
      <c r="Q16" s="106">
        <v>404.5</v>
      </c>
      <c r="R16" s="105">
        <v>591227</v>
      </c>
      <c r="S16" s="106">
        <v>0</v>
      </c>
      <c r="T16" s="105">
        <v>0</v>
      </c>
      <c r="U16" s="105"/>
      <c r="V16" s="105"/>
      <c r="W16" s="105"/>
      <c r="X16" s="110"/>
    </row>
    <row r="17" spans="1:24" ht="15" customHeight="1" x14ac:dyDescent="0.25">
      <c r="A17" s="104">
        <v>10</v>
      </c>
      <c r="B17" s="64" t="s">
        <v>166</v>
      </c>
      <c r="C17" s="66">
        <f t="shared" si="2"/>
        <v>3525616</v>
      </c>
      <c r="D17" s="105">
        <f t="shared" si="1"/>
        <v>3525616</v>
      </c>
      <c r="E17" s="105">
        <v>273802</v>
      </c>
      <c r="F17" s="105">
        <v>979791</v>
      </c>
      <c r="G17" s="105">
        <v>860000</v>
      </c>
      <c r="H17" s="105">
        <v>860000</v>
      </c>
      <c r="I17" s="105">
        <v>552023</v>
      </c>
      <c r="J17" s="105">
        <v>0</v>
      </c>
      <c r="K17" s="106">
        <v>0</v>
      </c>
      <c r="L17" s="105">
        <v>0</v>
      </c>
      <c r="M17" s="106">
        <v>0</v>
      </c>
      <c r="N17" s="105">
        <v>0</v>
      </c>
      <c r="O17" s="106">
        <v>0</v>
      </c>
      <c r="P17" s="105">
        <v>0</v>
      </c>
      <c r="Q17" s="106">
        <v>0</v>
      </c>
      <c r="R17" s="105">
        <v>0</v>
      </c>
      <c r="S17" s="106">
        <v>0</v>
      </c>
      <c r="T17" s="105">
        <v>0</v>
      </c>
      <c r="U17" s="105"/>
      <c r="V17" s="105"/>
      <c r="W17" s="105"/>
      <c r="X17" s="110"/>
    </row>
    <row r="18" spans="1:24" ht="15" customHeight="1" x14ac:dyDescent="0.25">
      <c r="A18" s="104">
        <v>11</v>
      </c>
      <c r="B18" s="64" t="s">
        <v>212</v>
      </c>
      <c r="C18" s="66">
        <f t="shared" si="2"/>
        <v>2511472</v>
      </c>
      <c r="D18" s="105">
        <f t="shared" si="1"/>
        <v>2511472</v>
      </c>
      <c r="E18" s="105">
        <v>0</v>
      </c>
      <c r="F18" s="105">
        <v>2511472</v>
      </c>
      <c r="G18" s="105">
        <v>0</v>
      </c>
      <c r="H18" s="105">
        <v>0</v>
      </c>
      <c r="I18" s="105">
        <v>0</v>
      </c>
      <c r="J18" s="105">
        <v>0</v>
      </c>
      <c r="K18" s="106">
        <v>0</v>
      </c>
      <c r="L18" s="105">
        <v>0</v>
      </c>
      <c r="M18" s="106">
        <v>0</v>
      </c>
      <c r="N18" s="105">
        <v>0</v>
      </c>
      <c r="O18" s="106">
        <v>0</v>
      </c>
      <c r="P18" s="105">
        <v>0</v>
      </c>
      <c r="Q18" s="106">
        <v>0</v>
      </c>
      <c r="R18" s="105">
        <v>0</v>
      </c>
      <c r="S18" s="106">
        <v>0</v>
      </c>
      <c r="T18" s="105">
        <v>0</v>
      </c>
      <c r="U18" s="105"/>
      <c r="V18" s="105"/>
      <c r="W18" s="105"/>
      <c r="X18" s="110"/>
    </row>
    <row r="19" spans="1:24" ht="15" customHeight="1" x14ac:dyDescent="0.25">
      <c r="A19" s="104">
        <v>12</v>
      </c>
      <c r="B19" s="64" t="s">
        <v>152</v>
      </c>
      <c r="C19" s="66">
        <f t="shared" si="2"/>
        <v>2615616.2000000002</v>
      </c>
      <c r="D19" s="105">
        <f t="shared" si="1"/>
        <v>0</v>
      </c>
      <c r="E19" s="105">
        <v>0</v>
      </c>
      <c r="F19" s="105">
        <v>0</v>
      </c>
      <c r="G19" s="105">
        <v>0</v>
      </c>
      <c r="H19" s="105">
        <v>0</v>
      </c>
      <c r="I19" s="105">
        <v>0</v>
      </c>
      <c r="J19" s="105">
        <v>0</v>
      </c>
      <c r="K19" s="106">
        <v>0</v>
      </c>
      <c r="L19" s="105">
        <v>0</v>
      </c>
      <c r="M19" s="106">
        <v>0</v>
      </c>
      <c r="N19" s="105">
        <v>0</v>
      </c>
      <c r="O19" s="106">
        <v>0</v>
      </c>
      <c r="P19" s="105">
        <v>0</v>
      </c>
      <c r="Q19" s="106">
        <v>2540</v>
      </c>
      <c r="R19" s="105">
        <v>2615616.2000000002</v>
      </c>
      <c r="S19" s="106">
        <v>0</v>
      </c>
      <c r="T19" s="105">
        <v>0</v>
      </c>
      <c r="U19" s="105"/>
      <c r="V19" s="105"/>
      <c r="W19" s="105"/>
      <c r="X19" s="110"/>
    </row>
    <row r="20" spans="1:24" ht="15" customHeight="1" x14ac:dyDescent="0.25">
      <c r="A20" s="104">
        <v>13</v>
      </c>
      <c r="B20" s="64" t="s">
        <v>203</v>
      </c>
      <c r="C20" s="66">
        <f t="shared" si="2"/>
        <v>206635</v>
      </c>
      <c r="D20" s="105">
        <f t="shared" si="1"/>
        <v>206635</v>
      </c>
      <c r="E20" s="105">
        <v>206635</v>
      </c>
      <c r="F20" s="105">
        <v>0</v>
      </c>
      <c r="G20" s="105">
        <v>0</v>
      </c>
      <c r="H20" s="105">
        <v>0</v>
      </c>
      <c r="I20" s="105">
        <v>0</v>
      </c>
      <c r="J20" s="105">
        <v>0</v>
      </c>
      <c r="K20" s="106">
        <v>0</v>
      </c>
      <c r="L20" s="105">
        <v>0</v>
      </c>
      <c r="M20" s="106">
        <v>0</v>
      </c>
      <c r="N20" s="105">
        <v>0</v>
      </c>
      <c r="O20" s="106">
        <v>0</v>
      </c>
      <c r="P20" s="105">
        <v>0</v>
      </c>
      <c r="Q20" s="106">
        <v>0</v>
      </c>
      <c r="R20" s="105">
        <v>0</v>
      </c>
      <c r="S20" s="106">
        <v>0</v>
      </c>
      <c r="T20" s="105">
        <v>0</v>
      </c>
      <c r="U20" s="105"/>
      <c r="V20" s="105"/>
      <c r="W20" s="105"/>
      <c r="X20" s="110"/>
    </row>
    <row r="21" spans="1:24" ht="15" customHeight="1" x14ac:dyDescent="0.25">
      <c r="A21" s="104">
        <v>14</v>
      </c>
      <c r="B21" s="64" t="s">
        <v>215</v>
      </c>
      <c r="C21" s="66">
        <f t="shared" si="2"/>
        <v>2540427</v>
      </c>
      <c r="D21" s="105">
        <f t="shared" si="1"/>
        <v>0</v>
      </c>
      <c r="E21" s="105">
        <v>0</v>
      </c>
      <c r="F21" s="105">
        <v>0</v>
      </c>
      <c r="G21" s="105">
        <v>0</v>
      </c>
      <c r="H21" s="105">
        <v>0</v>
      </c>
      <c r="I21" s="105">
        <v>0</v>
      </c>
      <c r="J21" s="105">
        <v>0</v>
      </c>
      <c r="K21" s="106">
        <v>0</v>
      </c>
      <c r="L21" s="105">
        <v>0</v>
      </c>
      <c r="M21" s="113">
        <v>592</v>
      </c>
      <c r="N21" s="105">
        <v>1201460</v>
      </c>
      <c r="O21" s="106">
        <v>0</v>
      </c>
      <c r="P21" s="105">
        <v>0</v>
      </c>
      <c r="Q21" s="106">
        <v>922</v>
      </c>
      <c r="R21" s="105">
        <v>1338967</v>
      </c>
      <c r="S21" s="106">
        <v>0</v>
      </c>
      <c r="T21" s="105">
        <v>0</v>
      </c>
      <c r="U21" s="105"/>
      <c r="V21" s="105"/>
      <c r="W21" s="105"/>
      <c r="X21" s="110"/>
    </row>
    <row r="22" spans="1:24" ht="15" customHeight="1" x14ac:dyDescent="0.25">
      <c r="A22" s="104">
        <v>15</v>
      </c>
      <c r="B22" s="64" t="s">
        <v>186</v>
      </c>
      <c r="C22" s="66">
        <f t="shared" si="2"/>
        <v>906779</v>
      </c>
      <c r="D22" s="105">
        <f t="shared" si="1"/>
        <v>906779</v>
      </c>
      <c r="E22" s="105">
        <v>906779</v>
      </c>
      <c r="F22" s="105">
        <v>0</v>
      </c>
      <c r="G22" s="105">
        <v>0</v>
      </c>
      <c r="H22" s="105">
        <v>0</v>
      </c>
      <c r="I22" s="105">
        <v>0</v>
      </c>
      <c r="J22" s="105">
        <v>0</v>
      </c>
      <c r="K22" s="106">
        <v>0</v>
      </c>
      <c r="L22" s="105">
        <v>0</v>
      </c>
      <c r="M22" s="106">
        <v>0</v>
      </c>
      <c r="N22" s="105">
        <v>0</v>
      </c>
      <c r="O22" s="106">
        <v>0</v>
      </c>
      <c r="P22" s="105">
        <v>0</v>
      </c>
      <c r="Q22" s="106">
        <v>0</v>
      </c>
      <c r="R22" s="105">
        <v>0</v>
      </c>
      <c r="S22" s="106">
        <v>0</v>
      </c>
      <c r="T22" s="105">
        <v>0</v>
      </c>
      <c r="U22" s="105"/>
      <c r="V22" s="105"/>
      <c r="W22" s="105"/>
      <c r="X22" s="110"/>
    </row>
    <row r="23" spans="1:24" ht="15" customHeight="1" x14ac:dyDescent="0.25">
      <c r="A23" s="104">
        <v>16</v>
      </c>
      <c r="B23" s="64" t="s">
        <v>74</v>
      </c>
      <c r="C23" s="66">
        <f t="shared" si="2"/>
        <v>1161456</v>
      </c>
      <c r="D23" s="105">
        <f t="shared" si="1"/>
        <v>1161456</v>
      </c>
      <c r="E23" s="105">
        <v>1161456</v>
      </c>
      <c r="F23" s="105">
        <v>0</v>
      </c>
      <c r="G23" s="105">
        <v>0</v>
      </c>
      <c r="H23" s="105">
        <v>0</v>
      </c>
      <c r="I23" s="105">
        <v>0</v>
      </c>
      <c r="J23" s="105">
        <v>0</v>
      </c>
      <c r="K23" s="106">
        <v>0</v>
      </c>
      <c r="L23" s="105">
        <v>0</v>
      </c>
      <c r="M23" s="106">
        <v>0</v>
      </c>
      <c r="N23" s="105">
        <v>0</v>
      </c>
      <c r="O23" s="106">
        <v>0</v>
      </c>
      <c r="P23" s="105">
        <v>0</v>
      </c>
      <c r="Q23" s="106">
        <v>0</v>
      </c>
      <c r="R23" s="105">
        <v>0</v>
      </c>
      <c r="S23" s="106">
        <v>0</v>
      </c>
      <c r="T23" s="105">
        <v>0</v>
      </c>
      <c r="U23" s="108"/>
      <c r="V23" s="108"/>
      <c r="W23" s="108"/>
      <c r="X23" s="109"/>
    </row>
    <row r="24" spans="1:24" ht="15" customHeight="1" x14ac:dyDescent="0.25">
      <c r="A24" s="104">
        <v>17</v>
      </c>
      <c r="B24" s="64" t="s">
        <v>76</v>
      </c>
      <c r="C24" s="66">
        <f t="shared" si="2"/>
        <v>673312</v>
      </c>
      <c r="D24" s="105">
        <f t="shared" si="1"/>
        <v>0</v>
      </c>
      <c r="E24" s="105">
        <v>0</v>
      </c>
      <c r="F24" s="105">
        <v>0</v>
      </c>
      <c r="G24" s="105">
        <v>0</v>
      </c>
      <c r="H24" s="105">
        <v>0</v>
      </c>
      <c r="I24" s="105">
        <v>0</v>
      </c>
      <c r="J24" s="105">
        <v>0</v>
      </c>
      <c r="K24" s="106">
        <v>0</v>
      </c>
      <c r="L24" s="105">
        <v>0</v>
      </c>
      <c r="M24" s="106">
        <v>0</v>
      </c>
      <c r="N24" s="105">
        <v>0</v>
      </c>
      <c r="O24" s="106">
        <v>682</v>
      </c>
      <c r="P24" s="105">
        <v>673312</v>
      </c>
      <c r="Q24" s="106">
        <v>0</v>
      </c>
      <c r="R24" s="105">
        <v>0</v>
      </c>
      <c r="S24" s="106">
        <v>0</v>
      </c>
      <c r="T24" s="105">
        <v>0</v>
      </c>
      <c r="U24" s="108"/>
      <c r="V24" s="108"/>
      <c r="W24" s="108"/>
      <c r="X24" s="109"/>
    </row>
    <row r="25" spans="1:24" ht="15" customHeight="1" x14ac:dyDescent="0.25">
      <c r="A25" s="104">
        <v>18</v>
      </c>
      <c r="B25" s="64" t="s">
        <v>78</v>
      </c>
      <c r="C25" s="66">
        <f t="shared" si="2"/>
        <v>843246</v>
      </c>
      <c r="D25" s="105">
        <f t="shared" si="1"/>
        <v>843246</v>
      </c>
      <c r="E25" s="105">
        <v>843246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6">
        <v>0</v>
      </c>
      <c r="L25" s="105">
        <v>0</v>
      </c>
      <c r="M25" s="106">
        <v>0</v>
      </c>
      <c r="N25" s="105">
        <v>0</v>
      </c>
      <c r="O25" s="106">
        <v>0</v>
      </c>
      <c r="P25" s="105">
        <v>0</v>
      </c>
      <c r="Q25" s="106">
        <v>0</v>
      </c>
      <c r="R25" s="105">
        <v>0</v>
      </c>
      <c r="S25" s="106">
        <v>0</v>
      </c>
      <c r="T25" s="105">
        <v>0</v>
      </c>
      <c r="U25" s="108"/>
      <c r="V25" s="108"/>
      <c r="W25" s="108"/>
      <c r="X25" s="109"/>
    </row>
    <row r="26" spans="1:24" ht="15" customHeight="1" x14ac:dyDescent="0.25">
      <c r="A26" s="104">
        <v>19</v>
      </c>
      <c r="B26" s="64" t="s">
        <v>111</v>
      </c>
      <c r="C26" s="66">
        <f t="shared" si="2"/>
        <v>588302</v>
      </c>
      <c r="D26" s="105">
        <f t="shared" si="1"/>
        <v>588302</v>
      </c>
      <c r="E26" s="66">
        <v>588302</v>
      </c>
      <c r="F26" s="105">
        <v>0</v>
      </c>
      <c r="G26" s="105">
        <v>0</v>
      </c>
      <c r="H26" s="105">
        <v>0</v>
      </c>
      <c r="I26" s="105">
        <v>0</v>
      </c>
      <c r="J26" s="105">
        <v>0</v>
      </c>
      <c r="K26" s="106">
        <v>0</v>
      </c>
      <c r="L26" s="105">
        <v>0</v>
      </c>
      <c r="M26" s="106">
        <v>0</v>
      </c>
      <c r="N26" s="105">
        <v>0</v>
      </c>
      <c r="O26" s="106">
        <v>0</v>
      </c>
      <c r="P26" s="105">
        <v>0</v>
      </c>
      <c r="Q26" s="106">
        <v>0</v>
      </c>
      <c r="R26" s="105">
        <v>0</v>
      </c>
      <c r="S26" s="106">
        <v>0</v>
      </c>
      <c r="T26" s="105">
        <v>0</v>
      </c>
      <c r="U26" s="105"/>
      <c r="V26" s="105"/>
      <c r="W26" s="105"/>
      <c r="X26" s="110"/>
    </row>
    <row r="27" spans="1:24" ht="15" customHeight="1" x14ac:dyDescent="0.25">
      <c r="A27" s="104">
        <v>20</v>
      </c>
      <c r="B27" s="64" t="s">
        <v>176</v>
      </c>
      <c r="C27" s="66">
        <f t="shared" si="2"/>
        <v>1521754</v>
      </c>
      <c r="D27" s="105">
        <f t="shared" si="1"/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6">
        <v>0</v>
      </c>
      <c r="L27" s="105">
        <v>0</v>
      </c>
      <c r="M27" s="106">
        <v>430</v>
      </c>
      <c r="N27" s="105">
        <v>866735</v>
      </c>
      <c r="O27" s="106">
        <v>0</v>
      </c>
      <c r="P27" s="105">
        <v>0</v>
      </c>
      <c r="Q27" s="106">
        <v>449</v>
      </c>
      <c r="R27" s="105">
        <v>655019</v>
      </c>
      <c r="S27" s="106">
        <v>0</v>
      </c>
      <c r="T27" s="105">
        <v>0</v>
      </c>
      <c r="U27" s="105"/>
      <c r="V27" s="105"/>
      <c r="W27" s="105"/>
      <c r="X27" s="110"/>
    </row>
    <row r="28" spans="1:24" ht="15" customHeight="1" x14ac:dyDescent="0.25">
      <c r="A28" s="104">
        <v>21</v>
      </c>
      <c r="B28" s="64" t="s">
        <v>101</v>
      </c>
      <c r="C28" s="66">
        <f t="shared" si="2"/>
        <v>220784</v>
      </c>
      <c r="D28" s="105">
        <f t="shared" si="1"/>
        <v>220784</v>
      </c>
      <c r="E28" s="105">
        <v>220784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6">
        <v>0</v>
      </c>
      <c r="L28" s="105">
        <v>0</v>
      </c>
      <c r="M28" s="106">
        <v>0</v>
      </c>
      <c r="N28" s="105">
        <v>0</v>
      </c>
      <c r="O28" s="106">
        <v>0</v>
      </c>
      <c r="P28" s="105">
        <v>0</v>
      </c>
      <c r="Q28" s="107">
        <v>0</v>
      </c>
      <c r="R28" s="105">
        <v>0</v>
      </c>
      <c r="S28" s="106">
        <v>0</v>
      </c>
      <c r="T28" s="105">
        <v>0</v>
      </c>
      <c r="U28" s="108"/>
      <c r="V28" s="108"/>
      <c r="W28" s="108"/>
      <c r="X28" s="109"/>
    </row>
    <row r="29" spans="1:24" ht="15" customHeight="1" x14ac:dyDescent="0.25">
      <c r="A29" s="104">
        <v>22</v>
      </c>
      <c r="B29" s="64" t="s">
        <v>134</v>
      </c>
      <c r="C29" s="66">
        <f t="shared" si="2"/>
        <v>523389</v>
      </c>
      <c r="D29" s="105">
        <f t="shared" si="1"/>
        <v>0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106">
        <v>0</v>
      </c>
      <c r="L29" s="105">
        <v>0</v>
      </c>
      <c r="M29" s="106">
        <v>255</v>
      </c>
      <c r="N29" s="105">
        <v>523389</v>
      </c>
      <c r="O29" s="106">
        <v>0</v>
      </c>
      <c r="P29" s="105">
        <v>0</v>
      </c>
      <c r="Q29" s="107">
        <v>0</v>
      </c>
      <c r="R29" s="105">
        <v>0</v>
      </c>
      <c r="S29" s="106">
        <v>0</v>
      </c>
      <c r="T29" s="105">
        <v>0</v>
      </c>
      <c r="U29" s="105"/>
      <c r="V29" s="105"/>
      <c r="W29" s="105"/>
      <c r="X29" s="110"/>
    </row>
    <row r="30" spans="1:24" ht="15" customHeight="1" x14ac:dyDescent="0.25">
      <c r="A30" s="104">
        <v>23</v>
      </c>
      <c r="B30" s="64" t="s">
        <v>213</v>
      </c>
      <c r="C30" s="66">
        <f t="shared" si="2"/>
        <v>807980</v>
      </c>
      <c r="D30" s="105">
        <f t="shared" si="1"/>
        <v>0</v>
      </c>
      <c r="E30" s="105">
        <v>0</v>
      </c>
      <c r="F30" s="105">
        <v>0</v>
      </c>
      <c r="G30" s="105">
        <v>0</v>
      </c>
      <c r="H30" s="105">
        <v>0</v>
      </c>
      <c r="I30" s="105">
        <v>0</v>
      </c>
      <c r="J30" s="105">
        <v>0</v>
      </c>
      <c r="K30" s="106">
        <v>0</v>
      </c>
      <c r="L30" s="105">
        <v>0</v>
      </c>
      <c r="M30" s="106">
        <v>400</v>
      </c>
      <c r="N30" s="105">
        <v>807980</v>
      </c>
      <c r="O30" s="106">
        <v>0</v>
      </c>
      <c r="P30" s="105">
        <v>0</v>
      </c>
      <c r="Q30" s="107">
        <v>0</v>
      </c>
      <c r="R30" s="105">
        <v>0</v>
      </c>
      <c r="S30" s="106">
        <v>0</v>
      </c>
      <c r="T30" s="105">
        <v>0</v>
      </c>
      <c r="U30" s="105"/>
      <c r="V30" s="105"/>
      <c r="W30" s="105"/>
      <c r="X30" s="110"/>
    </row>
    <row r="31" spans="1:24" s="89" customFormat="1" ht="15" customHeight="1" x14ac:dyDescent="0.25">
      <c r="A31" s="104">
        <v>24</v>
      </c>
      <c r="B31" s="64" t="s">
        <v>119</v>
      </c>
      <c r="C31" s="66">
        <f t="shared" si="2"/>
        <v>1023088</v>
      </c>
      <c r="D31" s="105">
        <f t="shared" si="1"/>
        <v>0</v>
      </c>
      <c r="E31" s="105">
        <v>0</v>
      </c>
      <c r="F31" s="105">
        <v>0</v>
      </c>
      <c r="G31" s="105">
        <v>0</v>
      </c>
      <c r="H31" s="105">
        <v>0</v>
      </c>
      <c r="I31" s="105">
        <v>0</v>
      </c>
      <c r="J31" s="105">
        <v>0</v>
      </c>
      <c r="K31" s="106">
        <v>0</v>
      </c>
      <c r="L31" s="105">
        <v>0</v>
      </c>
      <c r="M31" s="106">
        <v>0</v>
      </c>
      <c r="N31" s="105">
        <v>0</v>
      </c>
      <c r="O31" s="106">
        <v>0</v>
      </c>
      <c r="P31" s="105">
        <v>0</v>
      </c>
      <c r="Q31" s="106">
        <v>694</v>
      </c>
      <c r="R31" s="66">
        <v>1023088</v>
      </c>
      <c r="S31" s="106">
        <v>0</v>
      </c>
      <c r="T31" s="105">
        <v>0</v>
      </c>
      <c r="U31" s="105"/>
      <c r="V31" s="105"/>
      <c r="W31" s="105"/>
      <c r="X31" s="110"/>
    </row>
    <row r="32" spans="1:24" ht="15" customHeight="1" x14ac:dyDescent="0.25">
      <c r="A32" s="104">
        <v>25</v>
      </c>
      <c r="B32" s="64" t="s">
        <v>179</v>
      </c>
      <c r="C32" s="66">
        <f t="shared" si="2"/>
        <v>1186114</v>
      </c>
      <c r="D32" s="105">
        <f t="shared" si="1"/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6">
        <v>0</v>
      </c>
      <c r="L32" s="105">
        <v>0</v>
      </c>
      <c r="M32" s="106">
        <v>586.29999999999995</v>
      </c>
      <c r="N32" s="105">
        <v>1186114</v>
      </c>
      <c r="O32" s="106">
        <v>0</v>
      </c>
      <c r="P32" s="105">
        <v>0</v>
      </c>
      <c r="Q32" s="106">
        <v>0</v>
      </c>
      <c r="R32" s="105">
        <v>0</v>
      </c>
      <c r="S32" s="106">
        <v>0</v>
      </c>
      <c r="T32" s="105">
        <v>0</v>
      </c>
      <c r="U32" s="105"/>
      <c r="V32" s="105"/>
      <c r="W32" s="105"/>
      <c r="X32" s="110"/>
    </row>
    <row r="33" spans="1:24" ht="15" customHeight="1" x14ac:dyDescent="0.25">
      <c r="A33" s="104">
        <v>26</v>
      </c>
      <c r="B33" s="64" t="s">
        <v>154</v>
      </c>
      <c r="C33" s="66">
        <f t="shared" si="2"/>
        <v>951740</v>
      </c>
      <c r="D33" s="105">
        <f t="shared" si="1"/>
        <v>0</v>
      </c>
      <c r="E33" s="105">
        <v>0</v>
      </c>
      <c r="F33" s="105">
        <v>0</v>
      </c>
      <c r="G33" s="105">
        <v>0</v>
      </c>
      <c r="H33" s="105">
        <v>0</v>
      </c>
      <c r="I33" s="105">
        <v>0</v>
      </c>
      <c r="J33" s="105">
        <v>0</v>
      </c>
      <c r="K33" s="106">
        <v>0</v>
      </c>
      <c r="L33" s="105">
        <v>0</v>
      </c>
      <c r="M33" s="106">
        <v>471.1</v>
      </c>
      <c r="N33" s="105">
        <v>951740</v>
      </c>
      <c r="O33" s="106">
        <v>0</v>
      </c>
      <c r="P33" s="105">
        <v>0</v>
      </c>
      <c r="Q33" s="106">
        <v>0</v>
      </c>
      <c r="R33" s="105">
        <v>0</v>
      </c>
      <c r="S33" s="106">
        <v>0</v>
      </c>
      <c r="T33" s="105">
        <v>0</v>
      </c>
      <c r="U33" s="105"/>
      <c r="V33" s="105"/>
      <c r="W33" s="105"/>
      <c r="X33" s="110"/>
    </row>
    <row r="34" spans="1:24" ht="15" customHeight="1" x14ac:dyDescent="0.25">
      <c r="A34" s="104">
        <v>27</v>
      </c>
      <c r="B34" s="64" t="s">
        <v>256</v>
      </c>
      <c r="C34" s="66">
        <f t="shared" si="2"/>
        <v>1894719</v>
      </c>
      <c r="D34" s="105">
        <f t="shared" si="1"/>
        <v>0</v>
      </c>
      <c r="E34" s="105">
        <v>0</v>
      </c>
      <c r="F34" s="105">
        <v>0</v>
      </c>
      <c r="G34" s="105">
        <v>0</v>
      </c>
      <c r="H34" s="105">
        <v>0</v>
      </c>
      <c r="I34" s="105">
        <v>0</v>
      </c>
      <c r="J34" s="105">
        <v>0</v>
      </c>
      <c r="K34" s="106">
        <v>1</v>
      </c>
      <c r="L34" s="105">
        <v>1894719</v>
      </c>
      <c r="M34" s="106">
        <v>0</v>
      </c>
      <c r="N34" s="105">
        <v>0</v>
      </c>
      <c r="O34" s="106">
        <v>0</v>
      </c>
      <c r="P34" s="105">
        <v>0</v>
      </c>
      <c r="Q34" s="106">
        <v>0</v>
      </c>
      <c r="R34" s="105">
        <v>0</v>
      </c>
      <c r="S34" s="106">
        <v>0</v>
      </c>
      <c r="T34" s="105">
        <v>0</v>
      </c>
      <c r="U34" s="105"/>
      <c r="V34" s="105"/>
      <c r="W34" s="105"/>
      <c r="X34" s="110"/>
    </row>
    <row r="35" spans="1:24" ht="15" customHeight="1" x14ac:dyDescent="0.25">
      <c r="A35" s="104">
        <v>28</v>
      </c>
      <c r="B35" s="64" t="s">
        <v>160</v>
      </c>
      <c r="C35" s="66">
        <f t="shared" si="2"/>
        <v>637739</v>
      </c>
      <c r="D35" s="105">
        <f t="shared" si="1"/>
        <v>637739</v>
      </c>
      <c r="E35" s="105">
        <v>0</v>
      </c>
      <c r="F35" s="105">
        <v>637739</v>
      </c>
      <c r="G35" s="105">
        <v>0</v>
      </c>
      <c r="H35" s="105">
        <v>0</v>
      </c>
      <c r="I35" s="105">
        <v>0</v>
      </c>
      <c r="J35" s="105">
        <v>0</v>
      </c>
      <c r="K35" s="106">
        <v>0</v>
      </c>
      <c r="L35" s="105">
        <v>0</v>
      </c>
      <c r="M35" s="106">
        <v>0</v>
      </c>
      <c r="N35" s="105">
        <v>0</v>
      </c>
      <c r="O35" s="106">
        <v>0</v>
      </c>
      <c r="P35" s="105">
        <v>0</v>
      </c>
      <c r="Q35" s="106">
        <v>0</v>
      </c>
      <c r="R35" s="105">
        <v>0</v>
      </c>
      <c r="S35" s="106">
        <v>0</v>
      </c>
      <c r="T35" s="105">
        <v>0</v>
      </c>
      <c r="U35" s="105"/>
      <c r="V35" s="105"/>
      <c r="W35" s="105"/>
      <c r="X35" s="110"/>
    </row>
    <row r="36" spans="1:24" ht="15" customHeight="1" x14ac:dyDescent="0.25">
      <c r="A36" s="104">
        <v>29</v>
      </c>
      <c r="B36" s="64" t="s">
        <v>109</v>
      </c>
      <c r="C36" s="66">
        <f t="shared" si="2"/>
        <v>359651</v>
      </c>
      <c r="D36" s="105">
        <f t="shared" si="1"/>
        <v>359651</v>
      </c>
      <c r="E36" s="105">
        <v>0</v>
      </c>
      <c r="F36" s="105">
        <v>0</v>
      </c>
      <c r="G36" s="66">
        <v>359651</v>
      </c>
      <c r="H36" s="105">
        <v>0</v>
      </c>
      <c r="I36" s="105">
        <v>0</v>
      </c>
      <c r="J36" s="105">
        <v>0</v>
      </c>
      <c r="K36" s="106">
        <v>0</v>
      </c>
      <c r="L36" s="105">
        <v>0</v>
      </c>
      <c r="M36" s="106">
        <v>0</v>
      </c>
      <c r="N36" s="105">
        <v>0</v>
      </c>
      <c r="O36" s="106">
        <v>0</v>
      </c>
      <c r="P36" s="105">
        <v>0</v>
      </c>
      <c r="Q36" s="106">
        <v>0</v>
      </c>
      <c r="R36" s="105">
        <v>0</v>
      </c>
      <c r="S36" s="106">
        <v>0</v>
      </c>
      <c r="T36" s="105">
        <v>0</v>
      </c>
      <c r="U36" s="105"/>
      <c r="V36" s="105"/>
      <c r="W36" s="105"/>
      <c r="X36" s="110"/>
    </row>
    <row r="37" spans="1:24" ht="15" customHeight="1" x14ac:dyDescent="0.25">
      <c r="A37" s="104">
        <v>30</v>
      </c>
      <c r="B37" s="64" t="s">
        <v>75</v>
      </c>
      <c r="C37" s="66">
        <f t="shared" si="2"/>
        <v>1385674</v>
      </c>
      <c r="D37" s="105">
        <f t="shared" si="1"/>
        <v>1385674</v>
      </c>
      <c r="E37" s="105">
        <v>0</v>
      </c>
      <c r="F37" s="105">
        <v>0</v>
      </c>
      <c r="G37" s="105">
        <v>0</v>
      </c>
      <c r="H37" s="105">
        <v>0</v>
      </c>
      <c r="I37" s="105">
        <v>1385674</v>
      </c>
      <c r="J37" s="105">
        <v>0</v>
      </c>
      <c r="K37" s="106">
        <v>0</v>
      </c>
      <c r="L37" s="105">
        <v>0</v>
      </c>
      <c r="M37" s="106">
        <v>0</v>
      </c>
      <c r="N37" s="105">
        <v>0</v>
      </c>
      <c r="O37" s="106">
        <v>0</v>
      </c>
      <c r="P37" s="105">
        <v>0</v>
      </c>
      <c r="Q37" s="106">
        <v>0</v>
      </c>
      <c r="R37" s="105">
        <v>0</v>
      </c>
      <c r="S37" s="106">
        <v>0</v>
      </c>
      <c r="T37" s="105">
        <v>0</v>
      </c>
      <c r="U37" s="108"/>
      <c r="V37" s="108"/>
      <c r="W37" s="108"/>
      <c r="X37" s="109"/>
    </row>
    <row r="38" spans="1:24" ht="15" customHeight="1" x14ac:dyDescent="0.25">
      <c r="A38" s="104">
        <v>31</v>
      </c>
      <c r="B38" s="64" t="s">
        <v>102</v>
      </c>
      <c r="C38" s="66">
        <f t="shared" si="2"/>
        <v>482251.51</v>
      </c>
      <c r="D38" s="105">
        <f t="shared" si="1"/>
        <v>482251.51</v>
      </c>
      <c r="E38" s="105">
        <v>0</v>
      </c>
      <c r="F38" s="105">
        <v>0</v>
      </c>
      <c r="G38" s="105">
        <v>186567.61</v>
      </c>
      <c r="H38" s="105">
        <v>295683.90000000002</v>
      </c>
      <c r="I38" s="105">
        <v>0</v>
      </c>
      <c r="J38" s="105">
        <v>0</v>
      </c>
      <c r="K38" s="106">
        <v>0</v>
      </c>
      <c r="L38" s="105">
        <v>0</v>
      </c>
      <c r="M38" s="106">
        <v>0</v>
      </c>
      <c r="N38" s="105">
        <v>0</v>
      </c>
      <c r="O38" s="106">
        <v>0</v>
      </c>
      <c r="P38" s="105">
        <v>0</v>
      </c>
      <c r="Q38" s="106">
        <v>0</v>
      </c>
      <c r="R38" s="105">
        <v>0</v>
      </c>
      <c r="S38" s="106">
        <v>0</v>
      </c>
      <c r="T38" s="105">
        <v>0</v>
      </c>
      <c r="U38" s="108"/>
      <c r="V38" s="108"/>
      <c r="W38" s="108"/>
      <c r="X38" s="109"/>
    </row>
    <row r="39" spans="1:24" ht="15" customHeight="1" x14ac:dyDescent="0.25">
      <c r="A39" s="104">
        <v>32</v>
      </c>
      <c r="B39" s="64" t="s">
        <v>211</v>
      </c>
      <c r="C39" s="66">
        <f t="shared" si="2"/>
        <v>1357217</v>
      </c>
      <c r="D39" s="105">
        <f t="shared" si="1"/>
        <v>0</v>
      </c>
      <c r="E39" s="105">
        <v>0</v>
      </c>
      <c r="F39" s="105">
        <v>0</v>
      </c>
      <c r="G39" s="105">
        <v>0</v>
      </c>
      <c r="H39" s="105">
        <v>0</v>
      </c>
      <c r="I39" s="105">
        <v>0</v>
      </c>
      <c r="J39" s="105">
        <v>0</v>
      </c>
      <c r="K39" s="106">
        <v>0</v>
      </c>
      <c r="L39" s="105">
        <v>0</v>
      </c>
      <c r="M39" s="106">
        <v>675</v>
      </c>
      <c r="N39" s="105">
        <v>1357217</v>
      </c>
      <c r="O39" s="106">
        <v>0</v>
      </c>
      <c r="P39" s="105">
        <v>0</v>
      </c>
      <c r="Q39" s="106">
        <v>0</v>
      </c>
      <c r="R39" s="105">
        <v>0</v>
      </c>
      <c r="S39" s="106">
        <v>0</v>
      </c>
      <c r="T39" s="105">
        <v>0</v>
      </c>
      <c r="U39" s="105"/>
      <c r="V39" s="105"/>
      <c r="W39" s="105"/>
      <c r="X39" s="110"/>
    </row>
    <row r="40" spans="1:24" s="114" customFormat="1" ht="15" customHeight="1" x14ac:dyDescent="0.25">
      <c r="A40" s="104">
        <v>33</v>
      </c>
      <c r="B40" s="64" t="s">
        <v>95</v>
      </c>
      <c r="C40" s="66">
        <f t="shared" si="2"/>
        <v>2721106</v>
      </c>
      <c r="D40" s="105">
        <f t="shared" si="1"/>
        <v>0</v>
      </c>
      <c r="E40" s="105">
        <v>0</v>
      </c>
      <c r="F40" s="105">
        <v>0</v>
      </c>
      <c r="G40" s="105">
        <v>0</v>
      </c>
      <c r="H40" s="105">
        <v>0</v>
      </c>
      <c r="I40" s="105">
        <v>0</v>
      </c>
      <c r="J40" s="105">
        <v>0</v>
      </c>
      <c r="K40" s="106">
        <v>0</v>
      </c>
      <c r="L40" s="105">
        <v>0</v>
      </c>
      <c r="M40" s="106">
        <v>1371</v>
      </c>
      <c r="N40" s="105">
        <v>2721106</v>
      </c>
      <c r="O40" s="106">
        <v>0</v>
      </c>
      <c r="P40" s="105">
        <v>0</v>
      </c>
      <c r="Q40" s="106">
        <v>0</v>
      </c>
      <c r="R40" s="105">
        <v>0</v>
      </c>
      <c r="S40" s="106">
        <v>0</v>
      </c>
      <c r="T40" s="105">
        <v>0</v>
      </c>
      <c r="U40" s="108"/>
      <c r="V40" s="108"/>
      <c r="W40" s="108"/>
      <c r="X40" s="109"/>
    </row>
    <row r="41" spans="1:24" ht="15" customHeight="1" x14ac:dyDescent="0.25">
      <c r="A41" s="104">
        <v>34</v>
      </c>
      <c r="B41" s="64" t="s">
        <v>139</v>
      </c>
      <c r="C41" s="66">
        <f t="shared" si="2"/>
        <v>1566345</v>
      </c>
      <c r="D41" s="105">
        <f t="shared" si="1"/>
        <v>0</v>
      </c>
      <c r="E41" s="105">
        <v>0</v>
      </c>
      <c r="F41" s="105">
        <v>0</v>
      </c>
      <c r="G41" s="105">
        <v>0</v>
      </c>
      <c r="H41" s="105">
        <v>0</v>
      </c>
      <c r="I41" s="105">
        <v>0</v>
      </c>
      <c r="J41" s="105">
        <v>0</v>
      </c>
      <c r="K41" s="106">
        <v>0</v>
      </c>
      <c r="L41" s="105">
        <v>0</v>
      </c>
      <c r="M41" s="106">
        <v>422</v>
      </c>
      <c r="N41" s="105">
        <v>850468</v>
      </c>
      <c r="O41" s="106">
        <v>0</v>
      </c>
      <c r="P41" s="105">
        <v>0</v>
      </c>
      <c r="Q41" s="106">
        <v>492</v>
      </c>
      <c r="R41" s="105">
        <v>715877</v>
      </c>
      <c r="S41" s="106">
        <v>0</v>
      </c>
      <c r="T41" s="105">
        <v>0</v>
      </c>
      <c r="U41" s="105"/>
      <c r="V41" s="105"/>
      <c r="W41" s="105"/>
      <c r="X41" s="110"/>
    </row>
    <row r="42" spans="1:24" s="89" customFormat="1" ht="15" customHeight="1" x14ac:dyDescent="0.25">
      <c r="A42" s="104">
        <v>35</v>
      </c>
      <c r="B42" s="64" t="s">
        <v>85</v>
      </c>
      <c r="C42" s="66">
        <f t="shared" si="2"/>
        <v>1253738</v>
      </c>
      <c r="D42" s="105">
        <f t="shared" si="1"/>
        <v>0</v>
      </c>
      <c r="E42" s="105">
        <v>0</v>
      </c>
      <c r="F42" s="105">
        <v>0</v>
      </c>
      <c r="G42" s="105">
        <v>0</v>
      </c>
      <c r="H42" s="105">
        <v>0</v>
      </c>
      <c r="I42" s="105">
        <v>0</v>
      </c>
      <c r="J42" s="105">
        <v>0</v>
      </c>
      <c r="K42" s="106">
        <v>0</v>
      </c>
      <c r="L42" s="105">
        <v>0</v>
      </c>
      <c r="M42" s="106">
        <v>622</v>
      </c>
      <c r="N42" s="105">
        <v>1253738</v>
      </c>
      <c r="O42" s="106">
        <v>0</v>
      </c>
      <c r="P42" s="105">
        <v>0</v>
      </c>
      <c r="Q42" s="107">
        <v>0</v>
      </c>
      <c r="R42" s="105">
        <v>0</v>
      </c>
      <c r="S42" s="106">
        <v>0</v>
      </c>
      <c r="T42" s="105">
        <v>0</v>
      </c>
      <c r="U42" s="108"/>
      <c r="V42" s="108"/>
      <c r="W42" s="108"/>
      <c r="X42" s="109"/>
    </row>
    <row r="43" spans="1:24" ht="15" customHeight="1" x14ac:dyDescent="0.25">
      <c r="A43" s="104">
        <v>36</v>
      </c>
      <c r="B43" s="64" t="s">
        <v>61</v>
      </c>
      <c r="C43" s="66">
        <f t="shared" si="2"/>
        <v>2056139</v>
      </c>
      <c r="D43" s="105">
        <f t="shared" si="1"/>
        <v>0</v>
      </c>
      <c r="E43" s="105">
        <v>0</v>
      </c>
      <c r="F43" s="105">
        <v>0</v>
      </c>
      <c r="G43" s="105">
        <v>0</v>
      </c>
      <c r="H43" s="105">
        <v>0</v>
      </c>
      <c r="I43" s="105">
        <v>0</v>
      </c>
      <c r="J43" s="105">
        <v>0</v>
      </c>
      <c r="K43" s="106">
        <v>0</v>
      </c>
      <c r="L43" s="105">
        <v>0</v>
      </c>
      <c r="M43" s="106">
        <v>1020</v>
      </c>
      <c r="N43" s="105">
        <v>2056139</v>
      </c>
      <c r="O43" s="106">
        <v>0</v>
      </c>
      <c r="P43" s="105">
        <v>0</v>
      </c>
      <c r="Q43" s="107">
        <v>0</v>
      </c>
      <c r="R43" s="105">
        <v>0</v>
      </c>
      <c r="S43" s="106">
        <v>0</v>
      </c>
      <c r="T43" s="105">
        <v>0</v>
      </c>
      <c r="U43" s="105" t="e">
        <f>#REF!*0.08</f>
        <v>#REF!</v>
      </c>
      <c r="V43" s="105" t="e">
        <f>#REF!*0.0214</f>
        <v>#REF!</v>
      </c>
      <c r="W43" s="105" t="e">
        <f>#REF!+U43+V43</f>
        <v>#REF!</v>
      </c>
      <c r="X43" s="110"/>
    </row>
    <row r="44" spans="1:24" ht="15" customHeight="1" x14ac:dyDescent="0.25">
      <c r="A44" s="104">
        <v>37</v>
      </c>
      <c r="B44" s="64" t="s">
        <v>90</v>
      </c>
      <c r="C44" s="66">
        <f t="shared" si="2"/>
        <v>1114586</v>
      </c>
      <c r="D44" s="105">
        <f t="shared" si="1"/>
        <v>0</v>
      </c>
      <c r="E44" s="105">
        <v>0</v>
      </c>
      <c r="F44" s="105">
        <v>0</v>
      </c>
      <c r="G44" s="105">
        <v>0</v>
      </c>
      <c r="H44" s="105">
        <v>0</v>
      </c>
      <c r="I44" s="105">
        <v>0</v>
      </c>
      <c r="J44" s="105">
        <v>0</v>
      </c>
      <c r="K44" s="106">
        <v>0</v>
      </c>
      <c r="L44" s="105">
        <v>0</v>
      </c>
      <c r="M44" s="106">
        <v>550</v>
      </c>
      <c r="N44" s="105">
        <v>1114586</v>
      </c>
      <c r="O44" s="106">
        <v>0</v>
      </c>
      <c r="P44" s="105">
        <v>0</v>
      </c>
      <c r="Q44" s="107">
        <v>0</v>
      </c>
      <c r="R44" s="105">
        <v>0</v>
      </c>
      <c r="S44" s="106">
        <v>0</v>
      </c>
      <c r="T44" s="105">
        <v>0</v>
      </c>
      <c r="U44" s="108"/>
      <c r="V44" s="108"/>
      <c r="W44" s="108"/>
      <c r="X44" s="109"/>
    </row>
    <row r="45" spans="1:24" ht="15" customHeight="1" x14ac:dyDescent="0.25">
      <c r="A45" s="104">
        <v>38</v>
      </c>
      <c r="B45" s="64" t="s">
        <v>259</v>
      </c>
      <c r="C45" s="66">
        <f t="shared" si="2"/>
        <v>1221424.83</v>
      </c>
      <c r="D45" s="105">
        <f t="shared" si="1"/>
        <v>0</v>
      </c>
      <c r="E45" s="105">
        <v>0</v>
      </c>
      <c r="F45" s="105">
        <v>0</v>
      </c>
      <c r="G45" s="105">
        <v>0</v>
      </c>
      <c r="H45" s="105">
        <v>0</v>
      </c>
      <c r="I45" s="105">
        <v>0</v>
      </c>
      <c r="J45" s="105">
        <v>0</v>
      </c>
      <c r="K45" s="106">
        <v>0</v>
      </c>
      <c r="L45" s="105">
        <v>0</v>
      </c>
      <c r="M45" s="106">
        <v>640</v>
      </c>
      <c r="N45" s="105">
        <v>1221424.83</v>
      </c>
      <c r="O45" s="106">
        <v>0</v>
      </c>
      <c r="P45" s="105">
        <v>0</v>
      </c>
      <c r="Q45" s="107">
        <v>0</v>
      </c>
      <c r="R45" s="105">
        <v>0</v>
      </c>
      <c r="S45" s="106">
        <v>0</v>
      </c>
      <c r="T45" s="105">
        <v>0</v>
      </c>
      <c r="U45" s="105"/>
      <c r="V45" s="105"/>
      <c r="W45" s="105"/>
      <c r="X45" s="110"/>
    </row>
    <row r="46" spans="1:24" ht="15" customHeight="1" x14ac:dyDescent="0.25">
      <c r="A46" s="104">
        <v>39</v>
      </c>
      <c r="B46" s="64" t="s">
        <v>192</v>
      </c>
      <c r="C46" s="66">
        <f t="shared" si="2"/>
        <v>4619990</v>
      </c>
      <c r="D46" s="105">
        <f t="shared" si="1"/>
        <v>0</v>
      </c>
      <c r="E46" s="105">
        <v>0</v>
      </c>
      <c r="F46" s="105">
        <v>0</v>
      </c>
      <c r="G46" s="105">
        <v>0</v>
      </c>
      <c r="H46" s="105">
        <v>0</v>
      </c>
      <c r="I46" s="105">
        <v>0</v>
      </c>
      <c r="J46" s="105">
        <v>0</v>
      </c>
      <c r="K46" s="106">
        <v>0</v>
      </c>
      <c r="L46" s="105">
        <v>0</v>
      </c>
      <c r="M46" s="106">
        <v>2319</v>
      </c>
      <c r="N46" s="105">
        <v>4619990</v>
      </c>
      <c r="O46" s="106">
        <v>0</v>
      </c>
      <c r="P46" s="105">
        <v>0</v>
      </c>
      <c r="Q46" s="107">
        <v>0</v>
      </c>
      <c r="R46" s="105">
        <v>0</v>
      </c>
      <c r="S46" s="106">
        <v>0</v>
      </c>
      <c r="T46" s="105">
        <v>0</v>
      </c>
      <c r="U46" s="105"/>
      <c r="V46" s="105"/>
      <c r="W46" s="105"/>
      <c r="X46" s="110"/>
    </row>
    <row r="47" spans="1:24" ht="15" customHeight="1" x14ac:dyDescent="0.25">
      <c r="A47" s="104">
        <v>40</v>
      </c>
      <c r="B47" s="64" t="s">
        <v>112</v>
      </c>
      <c r="C47" s="66">
        <f t="shared" si="2"/>
        <v>1014201</v>
      </c>
      <c r="D47" s="105">
        <f t="shared" si="1"/>
        <v>1014201</v>
      </c>
      <c r="E47" s="66">
        <v>1014201</v>
      </c>
      <c r="F47" s="105">
        <v>0</v>
      </c>
      <c r="G47" s="105">
        <v>0</v>
      </c>
      <c r="H47" s="105">
        <v>0</v>
      </c>
      <c r="I47" s="105">
        <v>0</v>
      </c>
      <c r="J47" s="105">
        <v>0</v>
      </c>
      <c r="K47" s="106">
        <v>0</v>
      </c>
      <c r="L47" s="105">
        <v>0</v>
      </c>
      <c r="M47" s="106">
        <v>0</v>
      </c>
      <c r="N47" s="105">
        <v>0</v>
      </c>
      <c r="O47" s="106">
        <v>0</v>
      </c>
      <c r="P47" s="105">
        <v>0</v>
      </c>
      <c r="Q47" s="107">
        <v>0</v>
      </c>
      <c r="R47" s="105">
        <v>0</v>
      </c>
      <c r="S47" s="106">
        <v>0</v>
      </c>
      <c r="T47" s="105">
        <v>0</v>
      </c>
      <c r="U47" s="105"/>
      <c r="V47" s="105"/>
      <c r="W47" s="105"/>
      <c r="X47" s="110"/>
    </row>
    <row r="48" spans="1:24" ht="15" customHeight="1" x14ac:dyDescent="0.25">
      <c r="A48" s="104">
        <v>41</v>
      </c>
      <c r="B48" s="64" t="s">
        <v>159</v>
      </c>
      <c r="C48" s="66">
        <f t="shared" si="2"/>
        <v>1862538</v>
      </c>
      <c r="D48" s="105">
        <f t="shared" si="1"/>
        <v>1862538</v>
      </c>
      <c r="E48" s="105">
        <v>0</v>
      </c>
      <c r="F48" s="105">
        <v>992652</v>
      </c>
      <c r="G48" s="105">
        <v>869886</v>
      </c>
      <c r="H48" s="105">
        <v>0</v>
      </c>
      <c r="I48" s="105">
        <v>0</v>
      </c>
      <c r="J48" s="105">
        <v>0</v>
      </c>
      <c r="K48" s="106">
        <v>0</v>
      </c>
      <c r="L48" s="105">
        <v>0</v>
      </c>
      <c r="M48" s="106">
        <v>0</v>
      </c>
      <c r="N48" s="105">
        <v>0</v>
      </c>
      <c r="O48" s="106">
        <v>0</v>
      </c>
      <c r="P48" s="105">
        <v>0</v>
      </c>
      <c r="Q48" s="107">
        <v>0</v>
      </c>
      <c r="R48" s="105">
        <v>0</v>
      </c>
      <c r="S48" s="106">
        <v>0</v>
      </c>
      <c r="T48" s="105">
        <v>0</v>
      </c>
      <c r="U48" s="105"/>
      <c r="V48" s="105"/>
      <c r="W48" s="105"/>
      <c r="X48" s="110"/>
    </row>
    <row r="49" spans="1:24" ht="15" customHeight="1" x14ac:dyDescent="0.25">
      <c r="A49" s="104">
        <v>42</v>
      </c>
      <c r="B49" s="64" t="s">
        <v>124</v>
      </c>
      <c r="C49" s="66">
        <f t="shared" si="2"/>
        <v>2124581</v>
      </c>
      <c r="D49" s="105">
        <f t="shared" si="1"/>
        <v>0</v>
      </c>
      <c r="E49" s="105">
        <v>0</v>
      </c>
      <c r="F49" s="105">
        <v>0</v>
      </c>
      <c r="G49" s="105">
        <v>0</v>
      </c>
      <c r="H49" s="105">
        <v>0</v>
      </c>
      <c r="I49" s="105">
        <v>0</v>
      </c>
      <c r="J49" s="105">
        <v>0</v>
      </c>
      <c r="K49" s="106">
        <v>0</v>
      </c>
      <c r="L49" s="105">
        <v>0</v>
      </c>
      <c r="M49" s="106">
        <v>1070</v>
      </c>
      <c r="N49" s="66">
        <v>2124581</v>
      </c>
      <c r="O49" s="106">
        <v>0</v>
      </c>
      <c r="P49" s="105">
        <v>0</v>
      </c>
      <c r="Q49" s="107">
        <v>0</v>
      </c>
      <c r="R49" s="105">
        <v>0</v>
      </c>
      <c r="S49" s="106">
        <v>0</v>
      </c>
      <c r="T49" s="105">
        <v>0</v>
      </c>
      <c r="U49" s="105"/>
      <c r="V49" s="105"/>
      <c r="W49" s="105"/>
      <c r="X49" s="110"/>
    </row>
    <row r="50" spans="1:24" ht="15" customHeight="1" x14ac:dyDescent="0.25">
      <c r="A50" s="104">
        <v>43</v>
      </c>
      <c r="B50" s="64" t="s">
        <v>58</v>
      </c>
      <c r="C50" s="66">
        <f t="shared" si="2"/>
        <v>3687908</v>
      </c>
      <c r="D50" s="105">
        <f t="shared" si="1"/>
        <v>3687908</v>
      </c>
      <c r="E50" s="105">
        <v>0</v>
      </c>
      <c r="F50" s="105">
        <v>0</v>
      </c>
      <c r="G50" s="105">
        <v>0</v>
      </c>
      <c r="H50" s="83">
        <v>3687908</v>
      </c>
      <c r="I50" s="105">
        <v>0</v>
      </c>
      <c r="J50" s="105">
        <v>0</v>
      </c>
      <c r="K50" s="106">
        <v>0</v>
      </c>
      <c r="L50" s="105">
        <v>0</v>
      </c>
      <c r="M50" s="106">
        <v>0</v>
      </c>
      <c r="N50" s="105">
        <v>0</v>
      </c>
      <c r="O50" s="106">
        <v>0</v>
      </c>
      <c r="P50" s="105">
        <v>0</v>
      </c>
      <c r="Q50" s="107">
        <v>0</v>
      </c>
      <c r="R50" s="105">
        <v>0</v>
      </c>
      <c r="S50" s="106">
        <v>0</v>
      </c>
      <c r="T50" s="105">
        <v>0</v>
      </c>
      <c r="U50" s="105" t="e">
        <f>#REF!*0.08</f>
        <v>#REF!</v>
      </c>
      <c r="V50" s="105" t="e">
        <f>#REF!*0.0214</f>
        <v>#REF!</v>
      </c>
      <c r="W50" s="105" t="e">
        <f>#REF!+U50+V50</f>
        <v>#REF!</v>
      </c>
      <c r="X50" s="110"/>
    </row>
    <row r="51" spans="1:24" ht="15" customHeight="1" x14ac:dyDescent="0.25">
      <c r="A51" s="104">
        <v>44</v>
      </c>
      <c r="B51" s="64" t="s">
        <v>91</v>
      </c>
      <c r="C51" s="66">
        <f t="shared" si="2"/>
        <v>1681645</v>
      </c>
      <c r="D51" s="105">
        <f t="shared" si="1"/>
        <v>0</v>
      </c>
      <c r="E51" s="105">
        <v>0</v>
      </c>
      <c r="F51" s="105">
        <v>0</v>
      </c>
      <c r="G51" s="105">
        <v>0</v>
      </c>
      <c r="H51" s="105">
        <v>0</v>
      </c>
      <c r="I51" s="105">
        <v>0</v>
      </c>
      <c r="J51" s="105">
        <v>0</v>
      </c>
      <c r="K51" s="106">
        <v>0</v>
      </c>
      <c r="L51" s="105">
        <v>0</v>
      </c>
      <c r="M51" s="106">
        <v>848.59</v>
      </c>
      <c r="N51" s="105">
        <v>1681645</v>
      </c>
      <c r="O51" s="106">
        <v>0</v>
      </c>
      <c r="P51" s="105">
        <v>0</v>
      </c>
      <c r="Q51" s="107">
        <v>0</v>
      </c>
      <c r="R51" s="105">
        <v>0</v>
      </c>
      <c r="S51" s="106">
        <v>0</v>
      </c>
      <c r="T51" s="105">
        <v>0</v>
      </c>
      <c r="U51" s="108"/>
      <c r="V51" s="108"/>
      <c r="W51" s="108"/>
      <c r="X51" s="109"/>
    </row>
    <row r="52" spans="1:24" ht="15" customHeight="1" x14ac:dyDescent="0.25">
      <c r="A52" s="104">
        <v>45</v>
      </c>
      <c r="B52" s="64" t="s">
        <v>77</v>
      </c>
      <c r="C52" s="66">
        <f t="shared" si="2"/>
        <v>1023289</v>
      </c>
      <c r="D52" s="105">
        <f t="shared" si="1"/>
        <v>1023289</v>
      </c>
      <c r="E52" s="105">
        <v>1023289</v>
      </c>
      <c r="F52" s="105">
        <v>0</v>
      </c>
      <c r="G52" s="105">
        <v>0</v>
      </c>
      <c r="H52" s="105">
        <v>0</v>
      </c>
      <c r="I52" s="105">
        <v>0</v>
      </c>
      <c r="J52" s="105">
        <v>0</v>
      </c>
      <c r="K52" s="106">
        <v>0</v>
      </c>
      <c r="L52" s="105">
        <v>0</v>
      </c>
      <c r="M52" s="106">
        <v>0</v>
      </c>
      <c r="N52" s="105">
        <v>0</v>
      </c>
      <c r="O52" s="106">
        <v>0</v>
      </c>
      <c r="P52" s="105">
        <v>0</v>
      </c>
      <c r="Q52" s="107">
        <v>0</v>
      </c>
      <c r="R52" s="105">
        <v>0</v>
      </c>
      <c r="S52" s="106">
        <v>0</v>
      </c>
      <c r="T52" s="105">
        <v>0</v>
      </c>
      <c r="U52" s="108"/>
      <c r="V52" s="108"/>
      <c r="W52" s="108"/>
      <c r="X52" s="109"/>
    </row>
    <row r="53" spans="1:24" ht="15" customHeight="1" x14ac:dyDescent="0.25">
      <c r="A53" s="104">
        <v>46</v>
      </c>
      <c r="B53" s="64" t="s">
        <v>141</v>
      </c>
      <c r="C53" s="66">
        <f t="shared" si="2"/>
        <v>1104857</v>
      </c>
      <c r="D53" s="105">
        <f t="shared" si="1"/>
        <v>0</v>
      </c>
      <c r="E53" s="105">
        <v>0</v>
      </c>
      <c r="F53" s="105">
        <v>0</v>
      </c>
      <c r="G53" s="105">
        <v>0</v>
      </c>
      <c r="H53" s="105">
        <v>0</v>
      </c>
      <c r="I53" s="105">
        <v>0</v>
      </c>
      <c r="J53" s="105">
        <v>0</v>
      </c>
      <c r="K53" s="106">
        <v>0</v>
      </c>
      <c r="L53" s="105">
        <v>0</v>
      </c>
      <c r="M53" s="106">
        <v>545.6</v>
      </c>
      <c r="N53" s="105">
        <v>1104857</v>
      </c>
      <c r="O53" s="106">
        <v>0</v>
      </c>
      <c r="P53" s="105">
        <v>0</v>
      </c>
      <c r="Q53" s="107">
        <v>0</v>
      </c>
      <c r="R53" s="105">
        <v>0</v>
      </c>
      <c r="S53" s="106">
        <v>0</v>
      </c>
      <c r="T53" s="105">
        <v>0</v>
      </c>
      <c r="U53" s="105"/>
      <c r="V53" s="105"/>
      <c r="W53" s="105"/>
      <c r="X53" s="110"/>
    </row>
    <row r="54" spans="1:24" ht="15" customHeight="1" x14ac:dyDescent="0.25">
      <c r="A54" s="104">
        <v>47</v>
      </c>
      <c r="B54" s="64" t="s">
        <v>210</v>
      </c>
      <c r="C54" s="66">
        <f t="shared" si="2"/>
        <v>709022</v>
      </c>
      <c r="D54" s="105">
        <f t="shared" si="1"/>
        <v>0</v>
      </c>
      <c r="E54" s="105">
        <v>0</v>
      </c>
      <c r="F54" s="105">
        <v>0</v>
      </c>
      <c r="G54" s="105">
        <v>0</v>
      </c>
      <c r="H54" s="105">
        <v>0</v>
      </c>
      <c r="I54" s="105">
        <v>0</v>
      </c>
      <c r="J54" s="105">
        <v>0</v>
      </c>
      <c r="K54" s="106">
        <v>0</v>
      </c>
      <c r="L54" s="105">
        <v>0</v>
      </c>
      <c r="M54" s="106">
        <v>0</v>
      </c>
      <c r="N54" s="105">
        <v>0</v>
      </c>
      <c r="O54" s="106">
        <v>0</v>
      </c>
      <c r="P54" s="105">
        <v>0</v>
      </c>
      <c r="Q54" s="106">
        <v>486.6</v>
      </c>
      <c r="R54" s="66">
        <v>709022</v>
      </c>
      <c r="S54" s="106">
        <v>0</v>
      </c>
      <c r="T54" s="105">
        <v>0</v>
      </c>
      <c r="U54" s="105"/>
      <c r="V54" s="105"/>
      <c r="W54" s="105"/>
      <c r="X54" s="110"/>
    </row>
    <row r="55" spans="1:24" ht="15" customHeight="1" x14ac:dyDescent="0.25">
      <c r="A55" s="104">
        <v>48</v>
      </c>
      <c r="B55" s="64" t="s">
        <v>205</v>
      </c>
      <c r="C55" s="66">
        <f t="shared" si="2"/>
        <v>1432926</v>
      </c>
      <c r="D55" s="105">
        <f t="shared" si="1"/>
        <v>0</v>
      </c>
      <c r="E55" s="105">
        <v>0</v>
      </c>
      <c r="F55" s="105">
        <v>0</v>
      </c>
      <c r="G55" s="105">
        <v>0</v>
      </c>
      <c r="H55" s="105">
        <v>0</v>
      </c>
      <c r="I55" s="105">
        <v>0</v>
      </c>
      <c r="J55" s="105">
        <v>0</v>
      </c>
      <c r="K55" s="106">
        <v>0</v>
      </c>
      <c r="L55" s="105">
        <v>0</v>
      </c>
      <c r="M55" s="106">
        <v>710.73</v>
      </c>
      <c r="N55" s="105">
        <v>1432926</v>
      </c>
      <c r="O55" s="106">
        <v>0</v>
      </c>
      <c r="P55" s="105">
        <v>0</v>
      </c>
      <c r="Q55" s="107">
        <v>0</v>
      </c>
      <c r="R55" s="105">
        <v>0</v>
      </c>
      <c r="S55" s="106">
        <v>0</v>
      </c>
      <c r="T55" s="105">
        <v>0</v>
      </c>
      <c r="U55" s="105"/>
      <c r="V55" s="105"/>
      <c r="W55" s="105"/>
      <c r="X55" s="110"/>
    </row>
    <row r="56" spans="1:24" ht="15" customHeight="1" x14ac:dyDescent="0.25">
      <c r="A56" s="104">
        <v>49</v>
      </c>
      <c r="B56" s="64" t="s">
        <v>137</v>
      </c>
      <c r="C56" s="66">
        <f t="shared" si="2"/>
        <v>1318880</v>
      </c>
      <c r="D56" s="105">
        <f t="shared" si="1"/>
        <v>0</v>
      </c>
      <c r="E56" s="105">
        <v>0</v>
      </c>
      <c r="F56" s="105">
        <v>0</v>
      </c>
      <c r="G56" s="105">
        <v>0</v>
      </c>
      <c r="H56" s="105">
        <v>0</v>
      </c>
      <c r="I56" s="105">
        <v>0</v>
      </c>
      <c r="J56" s="105">
        <v>0</v>
      </c>
      <c r="K56" s="106">
        <v>0</v>
      </c>
      <c r="L56" s="105">
        <v>0</v>
      </c>
      <c r="M56" s="106">
        <v>660</v>
      </c>
      <c r="N56" s="105">
        <v>1318880</v>
      </c>
      <c r="O56" s="106">
        <v>0</v>
      </c>
      <c r="P56" s="105">
        <v>0</v>
      </c>
      <c r="Q56" s="107">
        <v>0</v>
      </c>
      <c r="R56" s="105">
        <v>0</v>
      </c>
      <c r="S56" s="106">
        <v>0</v>
      </c>
      <c r="T56" s="105">
        <v>0</v>
      </c>
      <c r="U56" s="105"/>
      <c r="V56" s="105"/>
      <c r="W56" s="105"/>
      <c r="X56" s="110"/>
    </row>
    <row r="57" spans="1:24" ht="15" customHeight="1" x14ac:dyDescent="0.25">
      <c r="A57" s="104">
        <v>50</v>
      </c>
      <c r="B57" s="64" t="s">
        <v>204</v>
      </c>
      <c r="C57" s="66">
        <f t="shared" si="2"/>
        <v>1032539</v>
      </c>
      <c r="D57" s="105">
        <f t="shared" si="1"/>
        <v>1032539</v>
      </c>
      <c r="E57" s="105">
        <v>1032539</v>
      </c>
      <c r="F57" s="105">
        <v>0</v>
      </c>
      <c r="G57" s="105">
        <v>0</v>
      </c>
      <c r="H57" s="105">
        <v>0</v>
      </c>
      <c r="I57" s="105">
        <v>0</v>
      </c>
      <c r="J57" s="105">
        <v>0</v>
      </c>
      <c r="K57" s="106">
        <v>0</v>
      </c>
      <c r="L57" s="105">
        <v>0</v>
      </c>
      <c r="M57" s="106">
        <v>0</v>
      </c>
      <c r="N57" s="105">
        <v>0</v>
      </c>
      <c r="O57" s="106">
        <v>0</v>
      </c>
      <c r="P57" s="105">
        <v>0</v>
      </c>
      <c r="Q57" s="107">
        <v>0</v>
      </c>
      <c r="R57" s="105">
        <v>0</v>
      </c>
      <c r="S57" s="106">
        <v>0</v>
      </c>
      <c r="T57" s="105">
        <v>0</v>
      </c>
      <c r="U57" s="105"/>
      <c r="V57" s="105"/>
      <c r="W57" s="105"/>
      <c r="X57" s="110"/>
    </row>
    <row r="58" spans="1:24" ht="15" customHeight="1" x14ac:dyDescent="0.25">
      <c r="A58" s="104">
        <v>51</v>
      </c>
      <c r="B58" s="64" t="s">
        <v>136</v>
      </c>
      <c r="C58" s="66">
        <f t="shared" si="2"/>
        <v>2580419</v>
      </c>
      <c r="D58" s="105">
        <f t="shared" si="1"/>
        <v>0</v>
      </c>
      <c r="E58" s="105">
        <v>0</v>
      </c>
      <c r="F58" s="105">
        <v>0</v>
      </c>
      <c r="G58" s="105">
        <v>0</v>
      </c>
      <c r="H58" s="105">
        <v>0</v>
      </c>
      <c r="I58" s="105">
        <v>0</v>
      </c>
      <c r="J58" s="105">
        <v>0</v>
      </c>
      <c r="K58" s="106">
        <v>0</v>
      </c>
      <c r="L58" s="105">
        <v>0</v>
      </c>
      <c r="M58" s="106">
        <v>786.3</v>
      </c>
      <c r="N58" s="105">
        <v>1565675</v>
      </c>
      <c r="O58" s="106">
        <v>0</v>
      </c>
      <c r="P58" s="105">
        <v>0</v>
      </c>
      <c r="Q58" s="106">
        <v>700</v>
      </c>
      <c r="R58" s="105">
        <v>1014744</v>
      </c>
      <c r="S58" s="106">
        <v>0</v>
      </c>
      <c r="T58" s="105">
        <v>0</v>
      </c>
      <c r="U58" s="105"/>
      <c r="V58" s="105"/>
      <c r="W58" s="105"/>
      <c r="X58" s="110"/>
    </row>
    <row r="59" spans="1:24" s="22" customFormat="1" ht="15" customHeight="1" x14ac:dyDescent="0.25">
      <c r="A59" s="104">
        <v>52</v>
      </c>
      <c r="B59" s="64" t="s">
        <v>177</v>
      </c>
      <c r="C59" s="66">
        <f t="shared" si="2"/>
        <v>451222.57</v>
      </c>
      <c r="D59" s="105">
        <f t="shared" si="1"/>
        <v>451222.57</v>
      </c>
      <c r="E59" s="105">
        <v>0</v>
      </c>
      <c r="F59" s="66">
        <v>451222.57</v>
      </c>
      <c r="G59" s="105">
        <v>0</v>
      </c>
      <c r="H59" s="105">
        <v>0</v>
      </c>
      <c r="I59" s="105">
        <v>0</v>
      </c>
      <c r="J59" s="105">
        <v>0</v>
      </c>
      <c r="K59" s="106">
        <v>0</v>
      </c>
      <c r="L59" s="105">
        <v>0</v>
      </c>
      <c r="M59" s="106">
        <v>0</v>
      </c>
      <c r="N59" s="105">
        <v>0</v>
      </c>
      <c r="O59" s="106">
        <v>0</v>
      </c>
      <c r="P59" s="105">
        <v>0</v>
      </c>
      <c r="Q59" s="106">
        <v>0</v>
      </c>
      <c r="R59" s="105">
        <v>0</v>
      </c>
      <c r="S59" s="106">
        <v>0</v>
      </c>
      <c r="T59" s="105">
        <v>0</v>
      </c>
      <c r="U59" s="105"/>
      <c r="V59" s="105"/>
      <c r="W59" s="105"/>
      <c r="X59" s="110"/>
    </row>
    <row r="60" spans="1:24" s="22" customFormat="1" ht="25.5" customHeight="1" x14ac:dyDescent="0.25">
      <c r="A60" s="104">
        <v>53</v>
      </c>
      <c r="B60" s="64" t="s">
        <v>194</v>
      </c>
      <c r="C60" s="66">
        <f t="shared" si="2"/>
        <v>580578</v>
      </c>
      <c r="D60" s="105">
        <f t="shared" si="1"/>
        <v>0</v>
      </c>
      <c r="E60" s="105">
        <v>0</v>
      </c>
      <c r="F60" s="105">
        <v>0</v>
      </c>
      <c r="G60" s="105">
        <v>0</v>
      </c>
      <c r="H60" s="105">
        <v>0</v>
      </c>
      <c r="I60" s="105">
        <v>0</v>
      </c>
      <c r="J60" s="105">
        <v>0</v>
      </c>
      <c r="K60" s="106">
        <v>0</v>
      </c>
      <c r="L60" s="105">
        <v>0</v>
      </c>
      <c r="M60" s="106">
        <v>293.5</v>
      </c>
      <c r="N60" s="105">
        <v>580578</v>
      </c>
      <c r="O60" s="106">
        <v>0</v>
      </c>
      <c r="P60" s="105">
        <v>0</v>
      </c>
      <c r="Q60" s="106">
        <v>0</v>
      </c>
      <c r="R60" s="105">
        <v>0</v>
      </c>
      <c r="S60" s="106">
        <v>0</v>
      </c>
      <c r="T60" s="105">
        <v>0</v>
      </c>
      <c r="U60" s="105"/>
      <c r="V60" s="105"/>
      <c r="W60" s="105"/>
      <c r="X60" s="110"/>
    </row>
    <row r="61" spans="1:24" s="22" customFormat="1" x14ac:dyDescent="0.25">
      <c r="A61" s="104">
        <v>54</v>
      </c>
      <c r="B61" s="64" t="s">
        <v>62</v>
      </c>
      <c r="C61" s="66">
        <f t="shared" si="2"/>
        <v>3570233</v>
      </c>
      <c r="D61" s="105">
        <f t="shared" si="1"/>
        <v>3570233</v>
      </c>
      <c r="E61" s="105">
        <v>0</v>
      </c>
      <c r="F61" s="105">
        <v>1889501</v>
      </c>
      <c r="G61" s="105">
        <v>0</v>
      </c>
      <c r="H61" s="111">
        <v>1680732</v>
      </c>
      <c r="I61" s="105">
        <v>0</v>
      </c>
      <c r="J61" s="105">
        <v>0</v>
      </c>
      <c r="K61" s="106">
        <v>0</v>
      </c>
      <c r="L61" s="105">
        <v>0</v>
      </c>
      <c r="M61" s="107">
        <v>0</v>
      </c>
      <c r="N61" s="105">
        <v>0</v>
      </c>
      <c r="O61" s="106">
        <v>0</v>
      </c>
      <c r="P61" s="105">
        <v>0</v>
      </c>
      <c r="Q61" s="106">
        <v>0</v>
      </c>
      <c r="R61" s="105">
        <v>0</v>
      </c>
      <c r="S61" s="106">
        <v>0</v>
      </c>
      <c r="T61" s="105">
        <v>0</v>
      </c>
      <c r="U61" s="105" t="e">
        <f>#REF!*0.08</f>
        <v>#REF!</v>
      </c>
      <c r="V61" s="105" t="e">
        <f>#REF!*0.0214</f>
        <v>#REF!</v>
      </c>
      <c r="W61" s="105" t="e">
        <f>#REF!+U61+V61</f>
        <v>#REF!</v>
      </c>
      <c r="X61" s="110"/>
    </row>
    <row r="62" spans="1:24" s="115" customFormat="1" x14ac:dyDescent="0.25">
      <c r="A62" s="104">
        <v>55</v>
      </c>
      <c r="B62" s="64" t="s">
        <v>123</v>
      </c>
      <c r="C62" s="66">
        <f t="shared" si="2"/>
        <v>1742553</v>
      </c>
      <c r="D62" s="105">
        <f t="shared" si="1"/>
        <v>0</v>
      </c>
      <c r="E62" s="105">
        <v>0</v>
      </c>
      <c r="F62" s="105">
        <v>0</v>
      </c>
      <c r="G62" s="105">
        <v>0</v>
      </c>
      <c r="H62" s="105">
        <v>0</v>
      </c>
      <c r="I62" s="105">
        <v>0</v>
      </c>
      <c r="J62" s="105">
        <v>0</v>
      </c>
      <c r="K62" s="106">
        <v>0</v>
      </c>
      <c r="L62" s="105">
        <v>0</v>
      </c>
      <c r="M62" s="106">
        <v>874.22</v>
      </c>
      <c r="N62" s="66">
        <v>1742553</v>
      </c>
      <c r="O62" s="106">
        <v>0</v>
      </c>
      <c r="P62" s="105">
        <v>0</v>
      </c>
      <c r="Q62" s="106">
        <v>0</v>
      </c>
      <c r="R62" s="105">
        <v>0</v>
      </c>
      <c r="S62" s="106">
        <v>0</v>
      </c>
      <c r="T62" s="105">
        <v>0</v>
      </c>
      <c r="U62" s="105"/>
      <c r="V62" s="105"/>
      <c r="W62" s="105"/>
      <c r="X62" s="110"/>
    </row>
    <row r="63" spans="1:24" s="22" customFormat="1" x14ac:dyDescent="0.25">
      <c r="A63" s="104">
        <v>56</v>
      </c>
      <c r="B63" s="64" t="s">
        <v>196</v>
      </c>
      <c r="C63" s="66">
        <f t="shared" si="2"/>
        <v>682529</v>
      </c>
      <c r="D63" s="105">
        <f t="shared" si="1"/>
        <v>0</v>
      </c>
      <c r="E63" s="105">
        <v>0</v>
      </c>
      <c r="F63" s="105">
        <v>0</v>
      </c>
      <c r="G63" s="105">
        <v>0</v>
      </c>
      <c r="H63" s="105">
        <v>0</v>
      </c>
      <c r="I63" s="105">
        <v>0</v>
      </c>
      <c r="J63" s="105">
        <v>0</v>
      </c>
      <c r="K63" s="106">
        <v>0</v>
      </c>
      <c r="L63" s="105">
        <v>0</v>
      </c>
      <c r="M63" s="106">
        <v>335.6</v>
      </c>
      <c r="N63" s="105">
        <v>682529</v>
      </c>
      <c r="O63" s="106">
        <v>0</v>
      </c>
      <c r="P63" s="105">
        <v>0</v>
      </c>
      <c r="Q63" s="106">
        <v>0</v>
      </c>
      <c r="R63" s="105">
        <v>0</v>
      </c>
      <c r="S63" s="106">
        <v>0</v>
      </c>
      <c r="T63" s="105">
        <v>0</v>
      </c>
      <c r="U63" s="105"/>
      <c r="V63" s="105"/>
      <c r="W63" s="105"/>
      <c r="X63" s="110"/>
    </row>
    <row r="64" spans="1:24" x14ac:dyDescent="0.25">
      <c r="A64" s="104">
        <v>57</v>
      </c>
      <c r="B64" s="64" t="s">
        <v>188</v>
      </c>
      <c r="C64" s="66">
        <f t="shared" si="2"/>
        <v>1756852</v>
      </c>
      <c r="D64" s="105">
        <f t="shared" si="1"/>
        <v>0</v>
      </c>
      <c r="E64" s="105">
        <v>0</v>
      </c>
      <c r="F64" s="105">
        <v>0</v>
      </c>
      <c r="G64" s="105">
        <v>0</v>
      </c>
      <c r="H64" s="105">
        <v>0</v>
      </c>
      <c r="I64" s="105">
        <v>0</v>
      </c>
      <c r="J64" s="105">
        <v>0</v>
      </c>
      <c r="K64" s="106">
        <v>0</v>
      </c>
      <c r="L64" s="105">
        <v>0</v>
      </c>
      <c r="M64" s="106">
        <v>891</v>
      </c>
      <c r="N64" s="105">
        <v>1756852</v>
      </c>
      <c r="O64" s="106">
        <v>0</v>
      </c>
      <c r="P64" s="105">
        <v>0</v>
      </c>
      <c r="Q64" s="106">
        <v>0</v>
      </c>
      <c r="R64" s="105">
        <v>0</v>
      </c>
      <c r="S64" s="106">
        <v>0</v>
      </c>
      <c r="T64" s="105">
        <v>0</v>
      </c>
      <c r="U64" s="105"/>
      <c r="V64" s="105"/>
      <c r="W64" s="105"/>
      <c r="X64" s="110"/>
    </row>
    <row r="65" spans="1:24" s="22" customFormat="1" x14ac:dyDescent="0.25">
      <c r="A65" s="104">
        <v>58</v>
      </c>
      <c r="B65" s="64" t="s">
        <v>87</v>
      </c>
      <c r="C65" s="66">
        <f t="shared" si="2"/>
        <v>1136930</v>
      </c>
      <c r="D65" s="105">
        <f t="shared" si="1"/>
        <v>0</v>
      </c>
      <c r="E65" s="105">
        <v>0</v>
      </c>
      <c r="F65" s="105">
        <v>0</v>
      </c>
      <c r="G65" s="105">
        <v>0</v>
      </c>
      <c r="H65" s="105">
        <v>0</v>
      </c>
      <c r="I65" s="105">
        <v>0</v>
      </c>
      <c r="J65" s="105">
        <v>0</v>
      </c>
      <c r="K65" s="106">
        <v>0</v>
      </c>
      <c r="L65" s="105">
        <v>0</v>
      </c>
      <c r="M65" s="106">
        <v>278</v>
      </c>
      <c r="N65" s="105">
        <v>570382</v>
      </c>
      <c r="O65" s="106">
        <v>0</v>
      </c>
      <c r="P65" s="105">
        <v>0</v>
      </c>
      <c r="Q65" s="105">
        <v>386.88</v>
      </c>
      <c r="R65" s="105">
        <v>566548</v>
      </c>
      <c r="S65" s="106">
        <v>0</v>
      </c>
      <c r="T65" s="105">
        <v>0</v>
      </c>
      <c r="U65" s="108"/>
      <c r="V65" s="108"/>
      <c r="W65" s="108"/>
      <c r="X65" s="109"/>
    </row>
    <row r="66" spans="1:24" s="22" customFormat="1" x14ac:dyDescent="0.25">
      <c r="A66" s="104">
        <v>59</v>
      </c>
      <c r="B66" s="64" t="s">
        <v>57</v>
      </c>
      <c r="C66" s="66">
        <f t="shared" si="2"/>
        <v>1969149</v>
      </c>
      <c r="D66" s="105">
        <f t="shared" si="1"/>
        <v>0</v>
      </c>
      <c r="E66" s="105">
        <v>0</v>
      </c>
      <c r="F66" s="105">
        <v>0</v>
      </c>
      <c r="G66" s="105">
        <v>0</v>
      </c>
      <c r="H66" s="105">
        <v>0</v>
      </c>
      <c r="I66" s="105">
        <v>0</v>
      </c>
      <c r="J66" s="105">
        <v>0</v>
      </c>
      <c r="K66" s="106">
        <v>0</v>
      </c>
      <c r="L66" s="105">
        <v>0</v>
      </c>
      <c r="M66" s="106">
        <v>995.8</v>
      </c>
      <c r="N66" s="105">
        <v>1969149</v>
      </c>
      <c r="O66" s="106">
        <v>0</v>
      </c>
      <c r="P66" s="105">
        <v>0</v>
      </c>
      <c r="Q66" s="106">
        <v>0</v>
      </c>
      <c r="R66" s="105">
        <v>0</v>
      </c>
      <c r="S66" s="106">
        <v>0</v>
      </c>
      <c r="T66" s="105">
        <v>0</v>
      </c>
      <c r="U66" s="105" t="e">
        <f>#REF!*0.08</f>
        <v>#REF!</v>
      </c>
      <c r="V66" s="105" t="e">
        <f>#REF!*0.0214</f>
        <v>#REF!</v>
      </c>
      <c r="W66" s="105" t="e">
        <f>#REF!+U66+V66</f>
        <v>#REF!</v>
      </c>
      <c r="X66" s="110"/>
    </row>
    <row r="67" spans="1:24" s="22" customFormat="1" x14ac:dyDescent="0.25">
      <c r="A67" s="104">
        <v>60</v>
      </c>
      <c r="B67" s="64" t="s">
        <v>151</v>
      </c>
      <c r="C67" s="66">
        <f t="shared" si="2"/>
        <v>269948.13</v>
      </c>
      <c r="D67" s="105">
        <f t="shared" si="1"/>
        <v>269948.13</v>
      </c>
      <c r="E67" s="105">
        <v>0</v>
      </c>
      <c r="F67" s="105">
        <v>0</v>
      </c>
      <c r="G67" s="105">
        <v>121545.26</v>
      </c>
      <c r="H67" s="105">
        <v>148402.87</v>
      </c>
      <c r="I67" s="105">
        <v>0</v>
      </c>
      <c r="J67" s="105">
        <v>0</v>
      </c>
      <c r="K67" s="106">
        <v>0</v>
      </c>
      <c r="L67" s="105">
        <v>0</v>
      </c>
      <c r="M67" s="106">
        <v>0</v>
      </c>
      <c r="N67" s="105">
        <v>0</v>
      </c>
      <c r="O67" s="106">
        <v>0</v>
      </c>
      <c r="P67" s="105">
        <v>0</v>
      </c>
      <c r="Q67" s="106">
        <v>0</v>
      </c>
      <c r="R67" s="105">
        <v>0</v>
      </c>
      <c r="S67" s="106">
        <v>0</v>
      </c>
      <c r="T67" s="105">
        <v>0</v>
      </c>
      <c r="U67" s="105"/>
      <c r="V67" s="105"/>
      <c r="W67" s="105"/>
      <c r="X67" s="110"/>
    </row>
    <row r="68" spans="1:24" s="115" customFormat="1" x14ac:dyDescent="0.25">
      <c r="A68" s="104">
        <v>61</v>
      </c>
      <c r="B68" s="64" t="s">
        <v>214</v>
      </c>
      <c r="C68" s="66">
        <f t="shared" si="2"/>
        <v>1729707</v>
      </c>
      <c r="D68" s="105">
        <f t="shared" si="1"/>
        <v>630140</v>
      </c>
      <c r="E68" s="105">
        <v>0</v>
      </c>
      <c r="F68" s="105">
        <v>630140</v>
      </c>
      <c r="G68" s="105">
        <v>0</v>
      </c>
      <c r="H68" s="105">
        <v>0</v>
      </c>
      <c r="I68" s="105">
        <v>0</v>
      </c>
      <c r="J68" s="105">
        <v>0</v>
      </c>
      <c r="K68" s="106">
        <v>0</v>
      </c>
      <c r="L68" s="105">
        <v>0</v>
      </c>
      <c r="M68" s="106">
        <v>0</v>
      </c>
      <c r="N68" s="105">
        <v>0</v>
      </c>
      <c r="O68" s="106">
        <v>0</v>
      </c>
      <c r="P68" s="105">
        <v>0</v>
      </c>
      <c r="Q68" s="106">
        <v>760.3</v>
      </c>
      <c r="R68" s="105">
        <v>1099567</v>
      </c>
      <c r="S68" s="106">
        <v>0</v>
      </c>
      <c r="T68" s="105">
        <v>0</v>
      </c>
      <c r="U68" s="105"/>
      <c r="V68" s="105"/>
      <c r="W68" s="105"/>
      <c r="X68" s="110"/>
    </row>
    <row r="69" spans="1:24" s="22" customFormat="1" x14ac:dyDescent="0.25">
      <c r="A69" s="104">
        <v>62</v>
      </c>
      <c r="B69" s="64" t="s">
        <v>200</v>
      </c>
      <c r="C69" s="66">
        <f t="shared" si="2"/>
        <v>1871554</v>
      </c>
      <c r="D69" s="105">
        <f t="shared" si="1"/>
        <v>0</v>
      </c>
      <c r="E69" s="105">
        <v>0</v>
      </c>
      <c r="F69" s="105">
        <v>0</v>
      </c>
      <c r="G69" s="105">
        <v>0</v>
      </c>
      <c r="H69" s="105">
        <v>0</v>
      </c>
      <c r="I69" s="105">
        <v>0</v>
      </c>
      <c r="J69" s="105">
        <v>0</v>
      </c>
      <c r="K69" s="106">
        <v>1</v>
      </c>
      <c r="L69" s="105">
        <v>1871554</v>
      </c>
      <c r="M69" s="106">
        <v>0</v>
      </c>
      <c r="N69" s="105">
        <v>0</v>
      </c>
      <c r="O69" s="106">
        <v>0</v>
      </c>
      <c r="P69" s="105">
        <v>0</v>
      </c>
      <c r="Q69" s="106">
        <v>0</v>
      </c>
      <c r="R69" s="105">
        <v>0</v>
      </c>
      <c r="S69" s="106">
        <v>0</v>
      </c>
      <c r="T69" s="105">
        <v>0</v>
      </c>
      <c r="U69" s="105"/>
      <c r="V69" s="105"/>
      <c r="W69" s="105"/>
      <c r="X69" s="110"/>
    </row>
    <row r="70" spans="1:24" s="22" customFormat="1" x14ac:dyDescent="0.25">
      <c r="A70" s="104">
        <v>63</v>
      </c>
      <c r="B70" s="64" t="s">
        <v>140</v>
      </c>
      <c r="C70" s="66">
        <f t="shared" si="2"/>
        <v>1726391</v>
      </c>
      <c r="D70" s="105">
        <f t="shared" si="1"/>
        <v>0</v>
      </c>
      <c r="E70" s="105">
        <v>0</v>
      </c>
      <c r="F70" s="105">
        <v>0</v>
      </c>
      <c r="G70" s="105">
        <v>0</v>
      </c>
      <c r="H70" s="105">
        <v>0</v>
      </c>
      <c r="I70" s="105">
        <v>0</v>
      </c>
      <c r="J70" s="105">
        <v>0</v>
      </c>
      <c r="K70" s="106">
        <v>0</v>
      </c>
      <c r="L70" s="105">
        <v>0</v>
      </c>
      <c r="M70" s="106">
        <v>866.8</v>
      </c>
      <c r="N70" s="105">
        <v>1726391</v>
      </c>
      <c r="O70" s="106">
        <v>0</v>
      </c>
      <c r="P70" s="105">
        <v>0</v>
      </c>
      <c r="Q70" s="106">
        <v>0</v>
      </c>
      <c r="R70" s="105">
        <v>0</v>
      </c>
      <c r="S70" s="106">
        <v>0</v>
      </c>
      <c r="T70" s="105">
        <v>0</v>
      </c>
      <c r="U70" s="105"/>
      <c r="V70" s="105"/>
      <c r="W70" s="105"/>
      <c r="X70" s="110"/>
    </row>
    <row r="71" spans="1:24" s="22" customFormat="1" x14ac:dyDescent="0.25">
      <c r="A71" s="104">
        <v>64</v>
      </c>
      <c r="B71" s="64" t="s">
        <v>122</v>
      </c>
      <c r="C71" s="66">
        <f t="shared" si="2"/>
        <v>1140234</v>
      </c>
      <c r="D71" s="105">
        <f t="shared" si="1"/>
        <v>1140234</v>
      </c>
      <c r="E71" s="105">
        <v>0</v>
      </c>
      <c r="F71" s="105">
        <v>0</v>
      </c>
      <c r="G71" s="66">
        <v>1140234</v>
      </c>
      <c r="H71" s="105">
        <v>0</v>
      </c>
      <c r="I71" s="105">
        <v>0</v>
      </c>
      <c r="J71" s="105">
        <v>0</v>
      </c>
      <c r="K71" s="106">
        <v>0</v>
      </c>
      <c r="L71" s="105">
        <v>0</v>
      </c>
      <c r="M71" s="106">
        <v>0</v>
      </c>
      <c r="N71" s="105">
        <v>0</v>
      </c>
      <c r="O71" s="106">
        <v>0</v>
      </c>
      <c r="P71" s="105">
        <v>0</v>
      </c>
      <c r="Q71" s="106">
        <v>0</v>
      </c>
      <c r="R71" s="105">
        <v>0</v>
      </c>
      <c r="S71" s="106">
        <v>0</v>
      </c>
      <c r="T71" s="105">
        <v>0</v>
      </c>
      <c r="U71" s="105"/>
      <c r="V71" s="105"/>
      <c r="W71" s="105"/>
      <c r="X71" s="110"/>
    </row>
    <row r="72" spans="1:24" s="22" customFormat="1" x14ac:dyDescent="0.25">
      <c r="A72" s="104">
        <v>65</v>
      </c>
      <c r="B72" s="64" t="s">
        <v>98</v>
      </c>
      <c r="C72" s="66">
        <f t="shared" si="2"/>
        <v>1208259.28</v>
      </c>
      <c r="D72" s="105">
        <f t="shared" si="1"/>
        <v>0</v>
      </c>
      <c r="E72" s="105">
        <v>0</v>
      </c>
      <c r="F72" s="105">
        <v>0</v>
      </c>
      <c r="G72" s="105">
        <v>0</v>
      </c>
      <c r="H72" s="105">
        <v>0</v>
      </c>
      <c r="I72" s="105">
        <v>0</v>
      </c>
      <c r="J72" s="105">
        <v>0</v>
      </c>
      <c r="K72" s="106">
        <v>0</v>
      </c>
      <c r="L72" s="105">
        <v>0</v>
      </c>
      <c r="M72" s="106">
        <v>431.5</v>
      </c>
      <c r="N72" s="105">
        <v>1208259.28</v>
      </c>
      <c r="O72" s="106">
        <v>0</v>
      </c>
      <c r="P72" s="105">
        <v>0</v>
      </c>
      <c r="Q72" s="106">
        <v>0</v>
      </c>
      <c r="R72" s="105">
        <v>0</v>
      </c>
      <c r="S72" s="106">
        <v>0</v>
      </c>
      <c r="T72" s="105">
        <v>0</v>
      </c>
      <c r="U72" s="108"/>
      <c r="V72" s="108"/>
      <c r="W72" s="108"/>
      <c r="X72" s="109"/>
    </row>
    <row r="73" spans="1:24" s="22" customFormat="1" ht="15" customHeight="1" x14ac:dyDescent="0.25">
      <c r="A73" s="104">
        <v>66</v>
      </c>
      <c r="B73" s="64" t="s">
        <v>71</v>
      </c>
      <c r="C73" s="66">
        <f t="shared" ref="C73:C136" si="3">D73+L73+N73+P73+R73+T73</f>
        <v>887270</v>
      </c>
      <c r="D73" s="105">
        <f t="shared" ref="D73:D136" si="4">SUM(E73:J73)</f>
        <v>887270</v>
      </c>
      <c r="E73" s="105">
        <v>0</v>
      </c>
      <c r="F73" s="66">
        <v>887270</v>
      </c>
      <c r="G73" s="105">
        <v>0</v>
      </c>
      <c r="H73" s="105">
        <v>0</v>
      </c>
      <c r="I73" s="105">
        <v>0</v>
      </c>
      <c r="J73" s="105">
        <v>0</v>
      </c>
      <c r="K73" s="106">
        <v>0</v>
      </c>
      <c r="L73" s="105">
        <v>0</v>
      </c>
      <c r="M73" s="106">
        <v>0</v>
      </c>
      <c r="N73" s="105">
        <v>0</v>
      </c>
      <c r="O73" s="106">
        <v>0</v>
      </c>
      <c r="P73" s="105">
        <v>0</v>
      </c>
      <c r="Q73" s="106">
        <v>0</v>
      </c>
      <c r="R73" s="105">
        <v>0</v>
      </c>
      <c r="S73" s="106">
        <v>0</v>
      </c>
      <c r="T73" s="105">
        <v>0</v>
      </c>
      <c r="U73" s="105"/>
      <c r="V73" s="105"/>
      <c r="W73" s="105"/>
      <c r="X73" s="110"/>
    </row>
    <row r="74" spans="1:24" s="22" customFormat="1" ht="15" customHeight="1" x14ac:dyDescent="0.25">
      <c r="A74" s="104">
        <v>67</v>
      </c>
      <c r="B74" s="64" t="s">
        <v>93</v>
      </c>
      <c r="C74" s="66">
        <f t="shared" si="3"/>
        <v>1952489</v>
      </c>
      <c r="D74" s="105">
        <f t="shared" si="4"/>
        <v>0</v>
      </c>
      <c r="E74" s="105">
        <v>0</v>
      </c>
      <c r="F74" s="105">
        <v>0</v>
      </c>
      <c r="G74" s="105">
        <v>0</v>
      </c>
      <c r="H74" s="105">
        <v>0</v>
      </c>
      <c r="I74" s="105">
        <v>0</v>
      </c>
      <c r="J74" s="105">
        <v>0</v>
      </c>
      <c r="K74" s="106">
        <v>0</v>
      </c>
      <c r="L74" s="105">
        <v>0</v>
      </c>
      <c r="M74" s="106">
        <v>965</v>
      </c>
      <c r="N74" s="105">
        <v>1952489</v>
      </c>
      <c r="O74" s="106">
        <v>0</v>
      </c>
      <c r="P74" s="105">
        <v>0</v>
      </c>
      <c r="Q74" s="107">
        <v>0</v>
      </c>
      <c r="R74" s="105">
        <v>0</v>
      </c>
      <c r="S74" s="106">
        <v>0</v>
      </c>
      <c r="T74" s="105">
        <v>0</v>
      </c>
      <c r="U74" s="108"/>
      <c r="V74" s="108"/>
      <c r="W74" s="108"/>
      <c r="X74" s="109"/>
    </row>
    <row r="75" spans="1:24" s="22" customFormat="1" ht="15" customHeight="1" x14ac:dyDescent="0.25">
      <c r="A75" s="104">
        <v>68</v>
      </c>
      <c r="B75" s="64" t="s">
        <v>63</v>
      </c>
      <c r="C75" s="66">
        <f t="shared" si="3"/>
        <v>2468472</v>
      </c>
      <c r="D75" s="105">
        <f t="shared" si="4"/>
        <v>0</v>
      </c>
      <c r="E75" s="105">
        <v>0</v>
      </c>
      <c r="F75" s="105">
        <v>0</v>
      </c>
      <c r="G75" s="105">
        <v>0</v>
      </c>
      <c r="H75" s="105">
        <v>0</v>
      </c>
      <c r="I75" s="105">
        <v>0</v>
      </c>
      <c r="J75" s="105">
        <v>0</v>
      </c>
      <c r="K75" s="106">
        <v>0</v>
      </c>
      <c r="L75" s="105">
        <v>0</v>
      </c>
      <c r="M75" s="107">
        <v>1246.5</v>
      </c>
      <c r="N75" s="105">
        <v>2468472</v>
      </c>
      <c r="O75" s="106">
        <v>0</v>
      </c>
      <c r="P75" s="105">
        <v>0</v>
      </c>
      <c r="Q75" s="106">
        <v>0</v>
      </c>
      <c r="R75" s="105">
        <v>0</v>
      </c>
      <c r="S75" s="106">
        <v>0</v>
      </c>
      <c r="T75" s="105">
        <v>0</v>
      </c>
      <c r="U75" s="105" t="e">
        <f>#REF!*0.08</f>
        <v>#REF!</v>
      </c>
      <c r="V75" s="105" t="e">
        <f>#REF!*0.0214</f>
        <v>#REF!</v>
      </c>
      <c r="W75" s="105" t="e">
        <f>#REF!+U75+V75</f>
        <v>#REF!</v>
      </c>
      <c r="X75" s="110"/>
    </row>
    <row r="76" spans="1:24" s="22" customFormat="1" ht="15" customHeight="1" x14ac:dyDescent="0.25">
      <c r="A76" s="104">
        <v>69</v>
      </c>
      <c r="B76" s="64" t="s">
        <v>201</v>
      </c>
      <c r="C76" s="66">
        <f t="shared" si="3"/>
        <v>1053533.22</v>
      </c>
      <c r="D76" s="105">
        <f t="shared" si="4"/>
        <v>1053533.22</v>
      </c>
      <c r="E76" s="105">
        <v>319637.37</v>
      </c>
      <c r="F76" s="105">
        <v>0</v>
      </c>
      <c r="G76" s="105">
        <v>359472.85</v>
      </c>
      <c r="H76" s="105">
        <v>0</v>
      </c>
      <c r="I76" s="105">
        <v>374423</v>
      </c>
      <c r="J76" s="105">
        <v>0</v>
      </c>
      <c r="K76" s="106">
        <v>0</v>
      </c>
      <c r="L76" s="105">
        <v>0</v>
      </c>
      <c r="M76" s="106">
        <v>0</v>
      </c>
      <c r="N76" s="105">
        <v>0</v>
      </c>
      <c r="O76" s="106">
        <v>0</v>
      </c>
      <c r="P76" s="105">
        <v>0</v>
      </c>
      <c r="Q76" s="106">
        <v>0</v>
      </c>
      <c r="R76" s="105">
        <v>0</v>
      </c>
      <c r="S76" s="106">
        <v>0</v>
      </c>
      <c r="T76" s="105">
        <v>0</v>
      </c>
      <c r="U76" s="105"/>
      <c r="V76" s="105"/>
      <c r="W76" s="105"/>
      <c r="X76" s="110"/>
    </row>
    <row r="77" spans="1:24" s="22" customFormat="1" ht="15" customHeight="1" x14ac:dyDescent="0.25">
      <c r="A77" s="104">
        <v>70</v>
      </c>
      <c r="B77" s="64" t="s">
        <v>115</v>
      </c>
      <c r="C77" s="66">
        <f t="shared" si="3"/>
        <v>1702108</v>
      </c>
      <c r="D77" s="105">
        <f t="shared" si="4"/>
        <v>378349</v>
      </c>
      <c r="E77" s="105">
        <v>0</v>
      </c>
      <c r="F77" s="105">
        <v>0</v>
      </c>
      <c r="G77" s="105">
        <v>0</v>
      </c>
      <c r="H77" s="105">
        <v>0</v>
      </c>
      <c r="I77" s="66">
        <v>378349</v>
      </c>
      <c r="J77" s="105">
        <v>0</v>
      </c>
      <c r="K77" s="106">
        <v>0</v>
      </c>
      <c r="L77" s="105">
        <v>0</v>
      </c>
      <c r="M77" s="106">
        <v>663.3</v>
      </c>
      <c r="N77" s="105">
        <v>1323759</v>
      </c>
      <c r="O77" s="106">
        <v>0</v>
      </c>
      <c r="P77" s="105">
        <v>0</v>
      </c>
      <c r="Q77" s="106">
        <v>0</v>
      </c>
      <c r="R77" s="105">
        <v>0</v>
      </c>
      <c r="S77" s="106">
        <v>0</v>
      </c>
      <c r="T77" s="105">
        <v>0</v>
      </c>
      <c r="U77" s="105"/>
      <c r="V77" s="105"/>
      <c r="W77" s="105"/>
      <c r="X77" s="110"/>
    </row>
    <row r="78" spans="1:24" s="116" customFormat="1" ht="15" customHeight="1" x14ac:dyDescent="0.25">
      <c r="A78" s="104">
        <v>71</v>
      </c>
      <c r="B78" s="64" t="s">
        <v>254</v>
      </c>
      <c r="C78" s="66">
        <f t="shared" si="3"/>
        <v>2861497</v>
      </c>
      <c r="D78" s="105">
        <f t="shared" si="4"/>
        <v>0</v>
      </c>
      <c r="E78" s="105">
        <v>0</v>
      </c>
      <c r="F78" s="105">
        <v>0</v>
      </c>
      <c r="G78" s="105">
        <v>0</v>
      </c>
      <c r="H78" s="105">
        <v>0</v>
      </c>
      <c r="I78" s="105">
        <v>0</v>
      </c>
      <c r="J78" s="105">
        <v>0</v>
      </c>
      <c r="K78" s="106">
        <v>0</v>
      </c>
      <c r="L78" s="105">
        <v>0</v>
      </c>
      <c r="M78" s="106">
        <v>1450</v>
      </c>
      <c r="N78" s="105">
        <v>2861497</v>
      </c>
      <c r="O78" s="106">
        <v>0</v>
      </c>
      <c r="P78" s="105">
        <v>0</v>
      </c>
      <c r="Q78" s="106">
        <v>0</v>
      </c>
      <c r="R78" s="105">
        <v>0</v>
      </c>
      <c r="S78" s="106">
        <v>0</v>
      </c>
      <c r="T78" s="105">
        <v>0</v>
      </c>
      <c r="U78" s="105" t="e">
        <f>#REF!*0.08</f>
        <v>#REF!</v>
      </c>
      <c r="V78" s="105" t="e">
        <f>#REF!*0.0214</f>
        <v>#REF!</v>
      </c>
      <c r="W78" s="105" t="e">
        <f>#REF!+U78+V78</f>
        <v>#REF!</v>
      </c>
      <c r="X78" s="110"/>
    </row>
    <row r="79" spans="1:24" s="22" customFormat="1" ht="15" customHeight="1" x14ac:dyDescent="0.25">
      <c r="A79" s="104">
        <v>72</v>
      </c>
      <c r="B79" s="64" t="s">
        <v>121</v>
      </c>
      <c r="C79" s="66">
        <f t="shared" si="3"/>
        <v>836226</v>
      </c>
      <c r="D79" s="105">
        <f t="shared" si="4"/>
        <v>0</v>
      </c>
      <c r="E79" s="105">
        <v>0</v>
      </c>
      <c r="F79" s="105">
        <v>0</v>
      </c>
      <c r="G79" s="105">
        <v>0</v>
      </c>
      <c r="H79" s="105">
        <v>0</v>
      </c>
      <c r="I79" s="105">
        <v>0</v>
      </c>
      <c r="J79" s="105">
        <v>0</v>
      </c>
      <c r="K79" s="106">
        <v>0</v>
      </c>
      <c r="L79" s="105">
        <v>0</v>
      </c>
      <c r="M79" s="106">
        <v>414.1</v>
      </c>
      <c r="N79" s="66">
        <v>836226</v>
      </c>
      <c r="O79" s="106">
        <v>0</v>
      </c>
      <c r="P79" s="105">
        <v>0</v>
      </c>
      <c r="Q79" s="106">
        <v>0</v>
      </c>
      <c r="R79" s="105">
        <v>0</v>
      </c>
      <c r="S79" s="106">
        <v>0</v>
      </c>
      <c r="T79" s="105">
        <v>0</v>
      </c>
      <c r="U79" s="105"/>
      <c r="V79" s="105"/>
      <c r="W79" s="105"/>
      <c r="X79" s="110"/>
    </row>
    <row r="80" spans="1:24" s="22" customFormat="1" ht="15" customHeight="1" x14ac:dyDescent="0.25">
      <c r="A80" s="104">
        <v>73</v>
      </c>
      <c r="B80" s="64" t="s">
        <v>180</v>
      </c>
      <c r="C80" s="66">
        <f t="shared" si="3"/>
        <v>9473599</v>
      </c>
      <c r="D80" s="105">
        <f t="shared" si="4"/>
        <v>0</v>
      </c>
      <c r="E80" s="105">
        <v>0</v>
      </c>
      <c r="F80" s="105">
        <v>0</v>
      </c>
      <c r="G80" s="105">
        <v>0</v>
      </c>
      <c r="H80" s="105">
        <v>0</v>
      </c>
      <c r="I80" s="105">
        <v>0</v>
      </c>
      <c r="J80" s="105">
        <v>0</v>
      </c>
      <c r="K80" s="106">
        <v>5</v>
      </c>
      <c r="L80" s="105">
        <v>9473599</v>
      </c>
      <c r="M80" s="106">
        <v>0</v>
      </c>
      <c r="N80" s="105">
        <v>0</v>
      </c>
      <c r="O80" s="106">
        <v>0</v>
      </c>
      <c r="P80" s="105">
        <v>0</v>
      </c>
      <c r="Q80" s="106">
        <v>0</v>
      </c>
      <c r="R80" s="105">
        <v>0</v>
      </c>
      <c r="S80" s="106">
        <v>0</v>
      </c>
      <c r="T80" s="105">
        <v>0</v>
      </c>
      <c r="U80" s="105"/>
      <c r="V80" s="105"/>
      <c r="W80" s="105"/>
      <c r="X80" s="110"/>
    </row>
    <row r="81" spans="1:24" s="22" customFormat="1" ht="15" customHeight="1" x14ac:dyDescent="0.25">
      <c r="A81" s="104">
        <v>74</v>
      </c>
      <c r="B81" s="64" t="s">
        <v>195</v>
      </c>
      <c r="C81" s="66">
        <f t="shared" si="3"/>
        <v>615357</v>
      </c>
      <c r="D81" s="105">
        <f t="shared" si="4"/>
        <v>0</v>
      </c>
      <c r="E81" s="105">
        <v>0</v>
      </c>
      <c r="F81" s="105">
        <v>0</v>
      </c>
      <c r="G81" s="105">
        <v>0</v>
      </c>
      <c r="H81" s="105">
        <v>0</v>
      </c>
      <c r="I81" s="105">
        <v>0</v>
      </c>
      <c r="J81" s="105">
        <v>0</v>
      </c>
      <c r="K81" s="106">
        <v>0</v>
      </c>
      <c r="L81" s="105">
        <v>0</v>
      </c>
      <c r="M81" s="106">
        <v>301</v>
      </c>
      <c r="N81" s="105">
        <v>615357</v>
      </c>
      <c r="O81" s="106">
        <v>0</v>
      </c>
      <c r="P81" s="105">
        <v>0</v>
      </c>
      <c r="Q81" s="106">
        <v>0</v>
      </c>
      <c r="R81" s="105">
        <v>0</v>
      </c>
      <c r="S81" s="106">
        <v>0</v>
      </c>
      <c r="T81" s="105">
        <v>0</v>
      </c>
      <c r="U81" s="105"/>
      <c r="V81" s="105"/>
      <c r="W81" s="105"/>
      <c r="X81" s="110"/>
    </row>
    <row r="82" spans="1:24" s="22" customFormat="1" ht="15" customHeight="1" x14ac:dyDescent="0.25">
      <c r="A82" s="104">
        <v>75</v>
      </c>
      <c r="B82" s="64" t="s">
        <v>187</v>
      </c>
      <c r="C82" s="66">
        <f t="shared" si="3"/>
        <v>2491348</v>
      </c>
      <c r="D82" s="105">
        <f t="shared" si="4"/>
        <v>778762</v>
      </c>
      <c r="E82" s="105">
        <v>778762</v>
      </c>
      <c r="F82" s="105">
        <v>0</v>
      </c>
      <c r="G82" s="105">
        <v>0</v>
      </c>
      <c r="H82" s="105">
        <v>0</v>
      </c>
      <c r="I82" s="105">
        <v>0</v>
      </c>
      <c r="J82" s="105">
        <v>0</v>
      </c>
      <c r="K82" s="106">
        <v>0</v>
      </c>
      <c r="L82" s="105">
        <v>0</v>
      </c>
      <c r="M82" s="106">
        <v>868.1</v>
      </c>
      <c r="N82" s="105">
        <v>1712586</v>
      </c>
      <c r="O82" s="106">
        <v>0</v>
      </c>
      <c r="P82" s="105">
        <v>0</v>
      </c>
      <c r="Q82" s="106">
        <v>0</v>
      </c>
      <c r="R82" s="105">
        <v>0</v>
      </c>
      <c r="S82" s="106">
        <v>0</v>
      </c>
      <c r="T82" s="105">
        <v>0</v>
      </c>
      <c r="U82" s="105"/>
      <c r="V82" s="105"/>
      <c r="W82" s="105"/>
      <c r="X82" s="110"/>
    </row>
    <row r="83" spans="1:24" s="22" customFormat="1" ht="15.75" customHeight="1" x14ac:dyDescent="0.25">
      <c r="A83" s="104">
        <v>76</v>
      </c>
      <c r="B83" s="64" t="s">
        <v>116</v>
      </c>
      <c r="C83" s="66">
        <f t="shared" si="3"/>
        <v>1098449</v>
      </c>
      <c r="D83" s="105">
        <f t="shared" si="4"/>
        <v>1098449</v>
      </c>
      <c r="E83" s="66">
        <v>1098449</v>
      </c>
      <c r="F83" s="105">
        <v>0</v>
      </c>
      <c r="G83" s="105">
        <v>0</v>
      </c>
      <c r="H83" s="105">
        <v>0</v>
      </c>
      <c r="I83" s="105">
        <v>0</v>
      </c>
      <c r="J83" s="105">
        <v>0</v>
      </c>
      <c r="K83" s="106">
        <v>0</v>
      </c>
      <c r="L83" s="105">
        <v>0</v>
      </c>
      <c r="M83" s="106">
        <v>0</v>
      </c>
      <c r="N83" s="105">
        <v>0</v>
      </c>
      <c r="O83" s="106">
        <v>0</v>
      </c>
      <c r="P83" s="105">
        <v>0</v>
      </c>
      <c r="Q83" s="106">
        <v>0</v>
      </c>
      <c r="R83" s="105">
        <v>0</v>
      </c>
      <c r="S83" s="106">
        <v>0</v>
      </c>
      <c r="T83" s="105">
        <v>0</v>
      </c>
      <c r="U83" s="105"/>
      <c r="V83" s="105"/>
      <c r="W83" s="105"/>
      <c r="X83" s="110"/>
    </row>
    <row r="84" spans="1:24" s="22" customFormat="1" ht="15" customHeight="1" x14ac:dyDescent="0.25">
      <c r="A84" s="104">
        <v>77</v>
      </c>
      <c r="B84" s="64" t="s">
        <v>189</v>
      </c>
      <c r="C84" s="66">
        <f t="shared" si="3"/>
        <v>1081718</v>
      </c>
      <c r="D84" s="105">
        <f t="shared" si="4"/>
        <v>0</v>
      </c>
      <c r="E84" s="105">
        <v>0</v>
      </c>
      <c r="F84" s="105">
        <v>0</v>
      </c>
      <c r="G84" s="105">
        <v>0</v>
      </c>
      <c r="H84" s="105">
        <v>0</v>
      </c>
      <c r="I84" s="105">
        <v>0</v>
      </c>
      <c r="J84" s="105">
        <v>0</v>
      </c>
      <c r="K84" s="106">
        <v>0</v>
      </c>
      <c r="L84" s="105">
        <v>0</v>
      </c>
      <c r="M84" s="106">
        <v>531.70000000000005</v>
      </c>
      <c r="N84" s="105">
        <v>1081718</v>
      </c>
      <c r="O84" s="106">
        <v>0</v>
      </c>
      <c r="P84" s="105">
        <v>0</v>
      </c>
      <c r="Q84" s="106">
        <v>0</v>
      </c>
      <c r="R84" s="105">
        <v>0</v>
      </c>
      <c r="S84" s="106">
        <v>0</v>
      </c>
      <c r="T84" s="105">
        <v>0</v>
      </c>
      <c r="U84" s="105"/>
      <c r="V84" s="105"/>
      <c r="W84" s="105"/>
      <c r="X84" s="110"/>
    </row>
    <row r="85" spans="1:24" s="22" customFormat="1" ht="15" customHeight="1" x14ac:dyDescent="0.25">
      <c r="A85" s="104">
        <v>78</v>
      </c>
      <c r="B85" s="64" t="s">
        <v>114</v>
      </c>
      <c r="C85" s="66">
        <f t="shared" si="3"/>
        <v>1100896</v>
      </c>
      <c r="D85" s="105">
        <f t="shared" si="4"/>
        <v>0</v>
      </c>
      <c r="E85" s="105">
        <v>0</v>
      </c>
      <c r="F85" s="105">
        <v>0</v>
      </c>
      <c r="G85" s="105">
        <v>0</v>
      </c>
      <c r="H85" s="105">
        <v>0</v>
      </c>
      <c r="I85" s="105">
        <v>0</v>
      </c>
      <c r="J85" s="105">
        <v>0</v>
      </c>
      <c r="K85" s="106">
        <v>0</v>
      </c>
      <c r="L85" s="105">
        <v>0</v>
      </c>
      <c r="M85" s="106">
        <v>549</v>
      </c>
      <c r="N85" s="66">
        <v>1100896</v>
      </c>
      <c r="O85" s="106">
        <v>0</v>
      </c>
      <c r="P85" s="105">
        <v>0</v>
      </c>
      <c r="Q85" s="106">
        <v>0</v>
      </c>
      <c r="R85" s="105">
        <v>0</v>
      </c>
      <c r="S85" s="106">
        <v>0</v>
      </c>
      <c r="T85" s="105">
        <v>0</v>
      </c>
      <c r="U85" s="105"/>
      <c r="V85" s="105"/>
      <c r="W85" s="105"/>
      <c r="X85" s="110"/>
    </row>
    <row r="86" spans="1:24" s="22" customFormat="1" ht="15" customHeight="1" x14ac:dyDescent="0.25">
      <c r="A86" s="104">
        <v>79</v>
      </c>
      <c r="B86" s="64" t="s">
        <v>147</v>
      </c>
      <c r="C86" s="66">
        <f t="shared" si="3"/>
        <v>1865304</v>
      </c>
      <c r="D86" s="105">
        <f t="shared" si="4"/>
        <v>0</v>
      </c>
      <c r="E86" s="105">
        <v>0</v>
      </c>
      <c r="F86" s="105">
        <v>0</v>
      </c>
      <c r="G86" s="105">
        <v>0</v>
      </c>
      <c r="H86" s="105">
        <v>0</v>
      </c>
      <c r="I86" s="105">
        <v>0</v>
      </c>
      <c r="J86" s="105">
        <v>0</v>
      </c>
      <c r="K86" s="106">
        <v>0</v>
      </c>
      <c r="L86" s="105">
        <v>0</v>
      </c>
      <c r="M86" s="106">
        <v>924</v>
      </c>
      <c r="N86" s="105">
        <v>1865304</v>
      </c>
      <c r="O86" s="106">
        <v>0</v>
      </c>
      <c r="P86" s="105">
        <v>0</v>
      </c>
      <c r="Q86" s="106">
        <v>0</v>
      </c>
      <c r="R86" s="105">
        <v>0</v>
      </c>
      <c r="S86" s="106">
        <v>0</v>
      </c>
      <c r="T86" s="105">
        <v>0</v>
      </c>
      <c r="U86" s="105"/>
      <c r="V86" s="105"/>
      <c r="W86" s="105"/>
      <c r="X86" s="110"/>
    </row>
    <row r="87" spans="1:24" s="22" customFormat="1" ht="15" customHeight="1" x14ac:dyDescent="0.25">
      <c r="A87" s="104">
        <v>80</v>
      </c>
      <c r="B87" s="64" t="s">
        <v>197</v>
      </c>
      <c r="C87" s="66">
        <f t="shared" si="3"/>
        <v>1822779</v>
      </c>
      <c r="D87" s="105">
        <f t="shared" si="4"/>
        <v>1822779</v>
      </c>
      <c r="E87" s="105">
        <v>0</v>
      </c>
      <c r="F87" s="105">
        <v>0</v>
      </c>
      <c r="G87" s="105">
        <v>0</v>
      </c>
      <c r="H87" s="105">
        <v>0</v>
      </c>
      <c r="I87" s="105">
        <v>1822779</v>
      </c>
      <c r="J87" s="105">
        <v>0</v>
      </c>
      <c r="K87" s="106">
        <v>0</v>
      </c>
      <c r="L87" s="105">
        <v>0</v>
      </c>
      <c r="M87" s="106">
        <v>0</v>
      </c>
      <c r="N87" s="105">
        <v>0</v>
      </c>
      <c r="O87" s="106">
        <v>0</v>
      </c>
      <c r="P87" s="105">
        <v>0</v>
      </c>
      <c r="Q87" s="106">
        <v>0</v>
      </c>
      <c r="R87" s="105">
        <v>0</v>
      </c>
      <c r="S87" s="106">
        <v>0</v>
      </c>
      <c r="T87" s="105">
        <v>0</v>
      </c>
      <c r="U87" s="105"/>
      <c r="V87" s="105"/>
      <c r="W87" s="105"/>
      <c r="X87" s="110"/>
    </row>
    <row r="88" spans="1:24" s="22" customFormat="1" ht="15" customHeight="1" x14ac:dyDescent="0.25">
      <c r="A88" s="104">
        <v>81</v>
      </c>
      <c r="B88" s="64" t="s">
        <v>125</v>
      </c>
      <c r="C88" s="66">
        <f t="shared" si="3"/>
        <v>661525</v>
      </c>
      <c r="D88" s="105">
        <f t="shared" si="4"/>
        <v>0</v>
      </c>
      <c r="E88" s="105">
        <v>0</v>
      </c>
      <c r="F88" s="105">
        <v>0</v>
      </c>
      <c r="G88" s="105">
        <v>0</v>
      </c>
      <c r="H88" s="105">
        <v>0</v>
      </c>
      <c r="I88" s="105">
        <v>0</v>
      </c>
      <c r="J88" s="105">
        <v>0</v>
      </c>
      <c r="K88" s="106">
        <v>0</v>
      </c>
      <c r="L88" s="105">
        <v>0</v>
      </c>
      <c r="M88" s="106">
        <v>325</v>
      </c>
      <c r="N88" s="66">
        <v>661525</v>
      </c>
      <c r="O88" s="106">
        <v>0</v>
      </c>
      <c r="P88" s="105">
        <v>0</v>
      </c>
      <c r="Q88" s="106">
        <v>0</v>
      </c>
      <c r="R88" s="105">
        <v>0</v>
      </c>
      <c r="S88" s="106">
        <v>0</v>
      </c>
      <c r="T88" s="105">
        <v>0</v>
      </c>
      <c r="U88" s="105"/>
      <c r="V88" s="105"/>
      <c r="W88" s="105"/>
      <c r="X88" s="110"/>
    </row>
    <row r="89" spans="1:24" s="22" customFormat="1" ht="15" customHeight="1" x14ac:dyDescent="0.25">
      <c r="A89" s="104">
        <v>82</v>
      </c>
      <c r="B89" s="64" t="s">
        <v>113</v>
      </c>
      <c r="C89" s="66">
        <f t="shared" si="3"/>
        <v>1321356</v>
      </c>
      <c r="D89" s="105">
        <f t="shared" si="4"/>
        <v>0</v>
      </c>
      <c r="E89" s="105">
        <v>0</v>
      </c>
      <c r="F89" s="105">
        <v>0</v>
      </c>
      <c r="G89" s="105">
        <v>0</v>
      </c>
      <c r="H89" s="105">
        <v>0</v>
      </c>
      <c r="I89" s="105">
        <v>0</v>
      </c>
      <c r="J89" s="105">
        <v>0</v>
      </c>
      <c r="K89" s="106">
        <v>0</v>
      </c>
      <c r="L89" s="105">
        <v>0</v>
      </c>
      <c r="M89" s="106">
        <v>662</v>
      </c>
      <c r="N89" s="66">
        <v>1321356</v>
      </c>
      <c r="O89" s="106">
        <v>0</v>
      </c>
      <c r="P89" s="105">
        <v>0</v>
      </c>
      <c r="Q89" s="106">
        <v>0</v>
      </c>
      <c r="R89" s="105">
        <v>0</v>
      </c>
      <c r="S89" s="106">
        <v>0</v>
      </c>
      <c r="T89" s="105">
        <v>0</v>
      </c>
      <c r="U89" s="105"/>
      <c r="V89" s="105"/>
      <c r="W89" s="105"/>
      <c r="X89" s="110"/>
    </row>
    <row r="90" spans="1:24" s="22" customFormat="1" ht="15" customHeight="1" x14ac:dyDescent="0.25">
      <c r="A90" s="104">
        <v>83</v>
      </c>
      <c r="B90" s="64" t="s">
        <v>171</v>
      </c>
      <c r="C90" s="66">
        <f t="shared" si="3"/>
        <v>2253297</v>
      </c>
      <c r="D90" s="105">
        <f t="shared" si="4"/>
        <v>0</v>
      </c>
      <c r="E90" s="105">
        <v>0</v>
      </c>
      <c r="F90" s="105">
        <v>0</v>
      </c>
      <c r="G90" s="105">
        <v>0</v>
      </c>
      <c r="H90" s="105">
        <v>0</v>
      </c>
      <c r="I90" s="105">
        <v>0</v>
      </c>
      <c r="J90" s="105">
        <v>0</v>
      </c>
      <c r="K90" s="106">
        <v>0</v>
      </c>
      <c r="L90" s="105">
        <v>0</v>
      </c>
      <c r="M90" s="106">
        <v>1126</v>
      </c>
      <c r="N90" s="105">
        <v>2253297</v>
      </c>
      <c r="O90" s="106">
        <v>0</v>
      </c>
      <c r="P90" s="105">
        <v>0</v>
      </c>
      <c r="Q90" s="106">
        <v>0</v>
      </c>
      <c r="R90" s="105">
        <v>0</v>
      </c>
      <c r="S90" s="106">
        <v>0</v>
      </c>
      <c r="T90" s="105">
        <v>0</v>
      </c>
      <c r="U90" s="105"/>
      <c r="V90" s="105"/>
      <c r="W90" s="105"/>
      <c r="X90" s="110"/>
    </row>
    <row r="91" spans="1:24" s="22" customFormat="1" ht="15" customHeight="1" x14ac:dyDescent="0.25">
      <c r="A91" s="104">
        <v>84</v>
      </c>
      <c r="B91" s="64" t="s">
        <v>155</v>
      </c>
      <c r="C91" s="66">
        <f t="shared" si="3"/>
        <v>301122</v>
      </c>
      <c r="D91" s="105">
        <f t="shared" si="4"/>
        <v>301122</v>
      </c>
      <c r="E91" s="105">
        <v>0</v>
      </c>
      <c r="F91" s="105">
        <v>301122</v>
      </c>
      <c r="G91" s="105">
        <v>0</v>
      </c>
      <c r="H91" s="105">
        <v>0</v>
      </c>
      <c r="I91" s="105">
        <v>0</v>
      </c>
      <c r="J91" s="105">
        <v>0</v>
      </c>
      <c r="K91" s="106">
        <v>0</v>
      </c>
      <c r="L91" s="105">
        <v>0</v>
      </c>
      <c r="M91" s="106">
        <v>0</v>
      </c>
      <c r="N91" s="105">
        <v>0</v>
      </c>
      <c r="O91" s="106">
        <v>0</v>
      </c>
      <c r="P91" s="105">
        <v>0</v>
      </c>
      <c r="Q91" s="106">
        <v>0</v>
      </c>
      <c r="R91" s="105">
        <v>0</v>
      </c>
      <c r="S91" s="106">
        <v>0</v>
      </c>
      <c r="T91" s="105">
        <v>0</v>
      </c>
      <c r="U91" s="105"/>
      <c r="V91" s="105"/>
      <c r="W91" s="105"/>
      <c r="X91" s="110"/>
    </row>
    <row r="92" spans="1:24" s="22" customFormat="1" ht="15" customHeight="1" x14ac:dyDescent="0.25">
      <c r="A92" s="104">
        <v>85</v>
      </c>
      <c r="B92" s="64" t="s">
        <v>83</v>
      </c>
      <c r="C92" s="66">
        <f t="shared" si="3"/>
        <v>1197250.23</v>
      </c>
      <c r="D92" s="105">
        <f t="shared" si="4"/>
        <v>1197250.23</v>
      </c>
      <c r="E92" s="105">
        <v>0</v>
      </c>
      <c r="F92" s="105">
        <v>0</v>
      </c>
      <c r="G92" s="105">
        <v>370076.15</v>
      </c>
      <c r="H92" s="105">
        <v>611045.02</v>
      </c>
      <c r="I92" s="105">
        <v>216129.06</v>
      </c>
      <c r="J92" s="105">
        <v>0</v>
      </c>
      <c r="K92" s="106">
        <v>0</v>
      </c>
      <c r="L92" s="105">
        <v>0</v>
      </c>
      <c r="M92" s="107">
        <v>0</v>
      </c>
      <c r="N92" s="105">
        <v>0</v>
      </c>
      <c r="O92" s="106">
        <v>0</v>
      </c>
      <c r="P92" s="105">
        <v>0</v>
      </c>
      <c r="Q92" s="106">
        <v>0</v>
      </c>
      <c r="R92" s="105">
        <v>0</v>
      </c>
      <c r="S92" s="106">
        <v>0</v>
      </c>
      <c r="T92" s="105">
        <v>0</v>
      </c>
      <c r="U92" s="108"/>
      <c r="V92" s="108"/>
      <c r="W92" s="108"/>
      <c r="X92" s="109"/>
    </row>
    <row r="93" spans="1:24" s="22" customFormat="1" ht="15" customHeight="1" x14ac:dyDescent="0.25">
      <c r="A93" s="104">
        <v>86</v>
      </c>
      <c r="B93" s="64" t="s">
        <v>149</v>
      </c>
      <c r="C93" s="66">
        <f t="shared" si="3"/>
        <v>771330</v>
      </c>
      <c r="D93" s="105">
        <f t="shared" si="4"/>
        <v>0</v>
      </c>
      <c r="E93" s="105">
        <v>0</v>
      </c>
      <c r="F93" s="105">
        <v>0</v>
      </c>
      <c r="G93" s="105">
        <v>0</v>
      </c>
      <c r="H93" s="105">
        <v>0</v>
      </c>
      <c r="I93" s="105">
        <v>0</v>
      </c>
      <c r="J93" s="105">
        <v>0</v>
      </c>
      <c r="K93" s="106">
        <v>0</v>
      </c>
      <c r="L93" s="105">
        <v>0</v>
      </c>
      <c r="M93" s="106">
        <v>376</v>
      </c>
      <c r="N93" s="105">
        <v>771330</v>
      </c>
      <c r="O93" s="106">
        <v>0</v>
      </c>
      <c r="P93" s="105">
        <v>0</v>
      </c>
      <c r="Q93" s="106">
        <v>0</v>
      </c>
      <c r="R93" s="105">
        <v>0</v>
      </c>
      <c r="S93" s="106">
        <v>0</v>
      </c>
      <c r="T93" s="105">
        <v>0</v>
      </c>
      <c r="U93" s="105"/>
      <c r="V93" s="105"/>
      <c r="W93" s="105"/>
      <c r="X93" s="110"/>
    </row>
    <row r="94" spans="1:24" s="22" customFormat="1" ht="15" customHeight="1" x14ac:dyDescent="0.25">
      <c r="A94" s="104">
        <v>87</v>
      </c>
      <c r="B94" s="64" t="s">
        <v>64</v>
      </c>
      <c r="C94" s="66">
        <f t="shared" si="3"/>
        <v>2433324</v>
      </c>
      <c r="D94" s="105">
        <f t="shared" si="4"/>
        <v>2433324</v>
      </c>
      <c r="E94" s="105">
        <v>0</v>
      </c>
      <c r="F94" s="105">
        <v>0</v>
      </c>
      <c r="G94" s="105">
        <v>2433324</v>
      </c>
      <c r="H94" s="105">
        <v>0</v>
      </c>
      <c r="I94" s="105">
        <v>0</v>
      </c>
      <c r="J94" s="105">
        <v>0</v>
      </c>
      <c r="K94" s="106">
        <v>0</v>
      </c>
      <c r="L94" s="105">
        <v>0</v>
      </c>
      <c r="M94" s="106">
        <v>0</v>
      </c>
      <c r="N94" s="105">
        <v>0</v>
      </c>
      <c r="O94" s="106">
        <v>0</v>
      </c>
      <c r="P94" s="105">
        <v>0</v>
      </c>
      <c r="Q94" s="106">
        <v>0</v>
      </c>
      <c r="R94" s="105">
        <v>0</v>
      </c>
      <c r="S94" s="106">
        <v>0</v>
      </c>
      <c r="T94" s="105">
        <v>0</v>
      </c>
      <c r="U94" s="105" t="e">
        <f>#REF!*0.08</f>
        <v>#REF!</v>
      </c>
      <c r="V94" s="105" t="e">
        <f>#REF!*0.0214</f>
        <v>#REF!</v>
      </c>
      <c r="W94" s="105" t="e">
        <f>#REF!+U94+V94</f>
        <v>#REF!</v>
      </c>
      <c r="X94" s="110"/>
    </row>
    <row r="95" spans="1:24" s="22" customFormat="1" ht="15" customHeight="1" x14ac:dyDescent="0.25">
      <c r="A95" s="104">
        <v>88</v>
      </c>
      <c r="B95" s="64" t="s">
        <v>70</v>
      </c>
      <c r="C95" s="66">
        <f t="shared" si="3"/>
        <v>3297092</v>
      </c>
      <c r="D95" s="105">
        <f t="shared" si="4"/>
        <v>930236</v>
      </c>
      <c r="E95" s="105">
        <v>930236</v>
      </c>
      <c r="F95" s="105">
        <v>0</v>
      </c>
      <c r="G95" s="105">
        <v>0</v>
      </c>
      <c r="H95" s="105">
        <v>0</v>
      </c>
      <c r="I95" s="105">
        <v>0</v>
      </c>
      <c r="J95" s="105">
        <v>0</v>
      </c>
      <c r="K95" s="106">
        <v>0</v>
      </c>
      <c r="L95" s="105">
        <v>0</v>
      </c>
      <c r="M95" s="106">
        <v>1200</v>
      </c>
      <c r="N95" s="105">
        <v>2366856</v>
      </c>
      <c r="O95" s="106">
        <v>0</v>
      </c>
      <c r="P95" s="105">
        <v>0</v>
      </c>
      <c r="Q95" s="106">
        <v>0</v>
      </c>
      <c r="R95" s="105">
        <v>0</v>
      </c>
      <c r="S95" s="106">
        <v>0</v>
      </c>
      <c r="T95" s="105">
        <v>0</v>
      </c>
      <c r="U95" s="105" t="e">
        <f>#REF!*0.08</f>
        <v>#REF!</v>
      </c>
      <c r="V95" s="105" t="e">
        <f>#REF!*0.0214</f>
        <v>#REF!</v>
      </c>
      <c r="W95" s="105" t="e">
        <f>#REF!+U95+V95</f>
        <v>#REF!</v>
      </c>
      <c r="X95" s="110"/>
    </row>
    <row r="96" spans="1:24" s="22" customFormat="1" ht="15" customHeight="1" x14ac:dyDescent="0.25">
      <c r="A96" s="104">
        <v>89</v>
      </c>
      <c r="B96" s="64" t="s">
        <v>178</v>
      </c>
      <c r="C96" s="66">
        <f t="shared" si="3"/>
        <v>2294529</v>
      </c>
      <c r="D96" s="105">
        <f t="shared" si="4"/>
        <v>0</v>
      </c>
      <c r="E96" s="105">
        <v>0</v>
      </c>
      <c r="F96" s="105">
        <v>0</v>
      </c>
      <c r="G96" s="105">
        <v>0</v>
      </c>
      <c r="H96" s="105">
        <v>0</v>
      </c>
      <c r="I96" s="105">
        <v>0</v>
      </c>
      <c r="J96" s="105">
        <v>0</v>
      </c>
      <c r="K96" s="106">
        <v>0</v>
      </c>
      <c r="L96" s="105">
        <v>0</v>
      </c>
      <c r="M96" s="106">
        <v>1162</v>
      </c>
      <c r="N96" s="105">
        <v>2294529</v>
      </c>
      <c r="O96" s="106">
        <v>0</v>
      </c>
      <c r="P96" s="105">
        <v>0</v>
      </c>
      <c r="Q96" s="106">
        <v>0</v>
      </c>
      <c r="R96" s="105">
        <v>0</v>
      </c>
      <c r="S96" s="106">
        <v>0</v>
      </c>
      <c r="T96" s="105">
        <v>0</v>
      </c>
      <c r="U96" s="105"/>
      <c r="V96" s="105"/>
      <c r="W96" s="105"/>
      <c r="X96" s="110"/>
    </row>
    <row r="97" spans="1:24" s="22" customFormat="1" ht="15" customHeight="1" x14ac:dyDescent="0.25">
      <c r="A97" s="104">
        <v>90</v>
      </c>
      <c r="B97" s="64" t="s">
        <v>120</v>
      </c>
      <c r="C97" s="66">
        <f t="shared" si="3"/>
        <v>886559</v>
      </c>
      <c r="D97" s="105">
        <f t="shared" si="4"/>
        <v>0</v>
      </c>
      <c r="E97" s="105">
        <v>0</v>
      </c>
      <c r="F97" s="105">
        <v>0</v>
      </c>
      <c r="G97" s="105">
        <v>0</v>
      </c>
      <c r="H97" s="105">
        <v>0</v>
      </c>
      <c r="I97" s="105">
        <v>0</v>
      </c>
      <c r="J97" s="105">
        <v>0</v>
      </c>
      <c r="K97" s="106">
        <v>0</v>
      </c>
      <c r="L97" s="105">
        <v>0</v>
      </c>
      <c r="M97" s="106">
        <v>440</v>
      </c>
      <c r="N97" s="66">
        <v>886559</v>
      </c>
      <c r="O97" s="106">
        <v>0</v>
      </c>
      <c r="P97" s="105">
        <v>0</v>
      </c>
      <c r="Q97" s="106">
        <v>0</v>
      </c>
      <c r="R97" s="105">
        <v>0</v>
      </c>
      <c r="S97" s="106">
        <v>0</v>
      </c>
      <c r="T97" s="105">
        <v>0</v>
      </c>
      <c r="U97" s="105"/>
      <c r="V97" s="105"/>
      <c r="W97" s="105"/>
      <c r="X97" s="110"/>
    </row>
    <row r="98" spans="1:24" s="22" customFormat="1" ht="15" customHeight="1" x14ac:dyDescent="0.25">
      <c r="A98" s="104">
        <v>91</v>
      </c>
      <c r="B98" s="64" t="s">
        <v>97</v>
      </c>
      <c r="C98" s="66">
        <f t="shared" si="3"/>
        <v>1137886</v>
      </c>
      <c r="D98" s="105">
        <f t="shared" si="4"/>
        <v>0</v>
      </c>
      <c r="E98" s="105">
        <v>0</v>
      </c>
      <c r="F98" s="105">
        <v>0</v>
      </c>
      <c r="G98" s="105">
        <v>0</v>
      </c>
      <c r="H98" s="105">
        <v>0</v>
      </c>
      <c r="I98" s="105">
        <v>0</v>
      </c>
      <c r="J98" s="105">
        <v>0</v>
      </c>
      <c r="K98" s="106">
        <v>0</v>
      </c>
      <c r="L98" s="105">
        <v>0</v>
      </c>
      <c r="M98" s="106">
        <v>0</v>
      </c>
      <c r="N98" s="105">
        <v>0</v>
      </c>
      <c r="O98" s="106">
        <v>0</v>
      </c>
      <c r="P98" s="105">
        <v>0</v>
      </c>
      <c r="Q98" s="107">
        <v>785.5</v>
      </c>
      <c r="R98" s="105">
        <v>1137886</v>
      </c>
      <c r="S98" s="106">
        <v>0</v>
      </c>
      <c r="T98" s="105">
        <v>0</v>
      </c>
      <c r="U98" s="108"/>
      <c r="V98" s="108"/>
      <c r="W98" s="108"/>
      <c r="X98" s="109"/>
    </row>
    <row r="99" spans="1:24" s="22" customFormat="1" ht="15" customHeight="1" x14ac:dyDescent="0.25">
      <c r="A99" s="104">
        <v>92</v>
      </c>
      <c r="B99" s="64" t="s">
        <v>129</v>
      </c>
      <c r="C99" s="66">
        <f t="shared" si="3"/>
        <v>1018040.92</v>
      </c>
      <c r="D99" s="105">
        <f t="shared" si="4"/>
        <v>0</v>
      </c>
      <c r="E99" s="105">
        <v>0</v>
      </c>
      <c r="F99" s="105">
        <v>0</v>
      </c>
      <c r="G99" s="105">
        <v>0</v>
      </c>
      <c r="H99" s="105">
        <v>0</v>
      </c>
      <c r="I99" s="105">
        <v>0</v>
      </c>
      <c r="J99" s="105">
        <v>0</v>
      </c>
      <c r="K99" s="106">
        <v>0</v>
      </c>
      <c r="L99" s="105">
        <v>0</v>
      </c>
      <c r="M99" s="106">
        <v>516.5</v>
      </c>
      <c r="N99" s="105">
        <v>1018040.92</v>
      </c>
      <c r="O99" s="106">
        <v>0</v>
      </c>
      <c r="P99" s="105">
        <v>0</v>
      </c>
      <c r="Q99" s="106">
        <v>0</v>
      </c>
      <c r="R99" s="105">
        <v>0</v>
      </c>
      <c r="S99" s="106">
        <v>0</v>
      </c>
      <c r="T99" s="105">
        <v>0</v>
      </c>
      <c r="U99" s="105"/>
      <c r="V99" s="105"/>
      <c r="W99" s="105"/>
      <c r="X99" s="110"/>
    </row>
    <row r="100" spans="1:24" s="22" customFormat="1" ht="15" customHeight="1" x14ac:dyDescent="0.25">
      <c r="A100" s="104">
        <v>93</v>
      </c>
      <c r="B100" s="64" t="s">
        <v>202</v>
      </c>
      <c r="C100" s="66">
        <f t="shared" si="3"/>
        <v>2694957</v>
      </c>
      <c r="D100" s="105">
        <f t="shared" si="4"/>
        <v>710638</v>
      </c>
      <c r="E100" s="105">
        <v>710638</v>
      </c>
      <c r="F100" s="105">
        <v>0</v>
      </c>
      <c r="G100" s="105">
        <v>0</v>
      </c>
      <c r="H100" s="105">
        <v>0</v>
      </c>
      <c r="I100" s="105">
        <v>0</v>
      </c>
      <c r="J100" s="105">
        <v>0</v>
      </c>
      <c r="K100" s="106">
        <v>0</v>
      </c>
      <c r="L100" s="105">
        <v>0</v>
      </c>
      <c r="M100" s="106">
        <v>0</v>
      </c>
      <c r="N100" s="105">
        <v>0</v>
      </c>
      <c r="O100" s="106">
        <v>0</v>
      </c>
      <c r="P100" s="105">
        <v>0</v>
      </c>
      <c r="Q100" s="106">
        <v>1359.5</v>
      </c>
      <c r="R100" s="105">
        <v>1984319</v>
      </c>
      <c r="S100" s="106">
        <v>0</v>
      </c>
      <c r="T100" s="105">
        <v>0</v>
      </c>
      <c r="U100" s="105"/>
      <c r="V100" s="105"/>
      <c r="W100" s="105"/>
      <c r="X100" s="110"/>
    </row>
    <row r="101" spans="1:24" s="22" customFormat="1" ht="15" customHeight="1" x14ac:dyDescent="0.25">
      <c r="A101" s="104">
        <v>94</v>
      </c>
      <c r="B101" s="64" t="s">
        <v>145</v>
      </c>
      <c r="C101" s="66">
        <f t="shared" si="3"/>
        <v>2542298.37</v>
      </c>
      <c r="D101" s="105">
        <f t="shared" si="4"/>
        <v>0</v>
      </c>
      <c r="E101" s="105">
        <v>0</v>
      </c>
      <c r="F101" s="105">
        <v>0</v>
      </c>
      <c r="G101" s="105">
        <v>0</v>
      </c>
      <c r="H101" s="105">
        <v>0</v>
      </c>
      <c r="I101" s="105">
        <v>0</v>
      </c>
      <c r="J101" s="105">
        <v>0</v>
      </c>
      <c r="K101" s="106">
        <v>0</v>
      </c>
      <c r="L101" s="105">
        <v>0</v>
      </c>
      <c r="M101" s="106">
        <v>1350</v>
      </c>
      <c r="N101" s="105">
        <v>2542298.37</v>
      </c>
      <c r="O101" s="106">
        <v>0</v>
      </c>
      <c r="P101" s="105">
        <v>0</v>
      </c>
      <c r="Q101" s="106">
        <v>0</v>
      </c>
      <c r="R101" s="105">
        <v>0</v>
      </c>
      <c r="S101" s="106">
        <v>0</v>
      </c>
      <c r="T101" s="105">
        <v>0</v>
      </c>
      <c r="U101" s="105"/>
      <c r="V101" s="105"/>
      <c r="W101" s="105"/>
      <c r="X101" s="110"/>
    </row>
    <row r="102" spans="1:24" s="22" customFormat="1" ht="15" customHeight="1" x14ac:dyDescent="0.25">
      <c r="A102" s="104">
        <v>95</v>
      </c>
      <c r="B102" s="64" t="s">
        <v>135</v>
      </c>
      <c r="C102" s="66">
        <f t="shared" si="3"/>
        <v>2347478</v>
      </c>
      <c r="D102" s="105">
        <f t="shared" si="4"/>
        <v>0</v>
      </c>
      <c r="E102" s="105">
        <v>0</v>
      </c>
      <c r="F102" s="105">
        <v>0</v>
      </c>
      <c r="G102" s="105">
        <v>0</v>
      </c>
      <c r="H102" s="105">
        <v>0</v>
      </c>
      <c r="I102" s="105">
        <v>0</v>
      </c>
      <c r="J102" s="105">
        <v>0</v>
      </c>
      <c r="K102" s="106">
        <v>0</v>
      </c>
      <c r="L102" s="105">
        <v>0</v>
      </c>
      <c r="M102" s="106">
        <v>1185.07</v>
      </c>
      <c r="N102" s="105">
        <v>2347478</v>
      </c>
      <c r="O102" s="106">
        <v>0</v>
      </c>
      <c r="P102" s="105">
        <v>0</v>
      </c>
      <c r="Q102" s="106">
        <v>0</v>
      </c>
      <c r="R102" s="105">
        <v>0</v>
      </c>
      <c r="S102" s="106">
        <v>0</v>
      </c>
      <c r="T102" s="105">
        <v>0</v>
      </c>
      <c r="U102" s="105"/>
      <c r="V102" s="105"/>
      <c r="W102" s="105"/>
      <c r="X102" s="110"/>
    </row>
    <row r="103" spans="1:24" s="22" customFormat="1" ht="15" customHeight="1" x14ac:dyDescent="0.25">
      <c r="A103" s="104">
        <v>96</v>
      </c>
      <c r="B103" s="64" t="s">
        <v>99</v>
      </c>
      <c r="C103" s="66">
        <f t="shared" si="3"/>
        <v>672819</v>
      </c>
      <c r="D103" s="105">
        <f t="shared" si="4"/>
        <v>0</v>
      </c>
      <c r="E103" s="105">
        <v>0</v>
      </c>
      <c r="F103" s="105">
        <v>0</v>
      </c>
      <c r="G103" s="105">
        <v>0</v>
      </c>
      <c r="H103" s="105">
        <v>0</v>
      </c>
      <c r="I103" s="105">
        <v>0</v>
      </c>
      <c r="J103" s="105">
        <v>0</v>
      </c>
      <c r="K103" s="106">
        <v>0</v>
      </c>
      <c r="L103" s="105">
        <v>0</v>
      </c>
      <c r="M103" s="106">
        <v>331.4</v>
      </c>
      <c r="N103" s="105">
        <v>672819</v>
      </c>
      <c r="O103" s="106">
        <v>0</v>
      </c>
      <c r="P103" s="105">
        <v>0</v>
      </c>
      <c r="Q103" s="107">
        <v>0</v>
      </c>
      <c r="R103" s="105">
        <v>0</v>
      </c>
      <c r="S103" s="106">
        <v>0</v>
      </c>
      <c r="T103" s="105">
        <v>0</v>
      </c>
      <c r="U103" s="108"/>
      <c r="V103" s="108"/>
      <c r="W103" s="108"/>
      <c r="X103" s="109"/>
    </row>
    <row r="104" spans="1:24" s="22" customFormat="1" ht="15" customHeight="1" x14ac:dyDescent="0.25">
      <c r="A104" s="104">
        <v>97</v>
      </c>
      <c r="B104" s="64" t="s">
        <v>108</v>
      </c>
      <c r="C104" s="66">
        <f t="shared" si="3"/>
        <v>1340000</v>
      </c>
      <c r="D104" s="105">
        <f t="shared" si="4"/>
        <v>1340000</v>
      </c>
      <c r="E104" s="105">
        <v>203030</v>
      </c>
      <c r="F104" s="105">
        <v>727634</v>
      </c>
      <c r="G104" s="105">
        <v>0</v>
      </c>
      <c r="H104" s="105">
        <v>0</v>
      </c>
      <c r="I104" s="105">
        <v>409336</v>
      </c>
      <c r="J104" s="105">
        <v>0</v>
      </c>
      <c r="K104" s="106">
        <v>0</v>
      </c>
      <c r="L104" s="105">
        <v>0</v>
      </c>
      <c r="M104" s="106">
        <v>0</v>
      </c>
      <c r="N104" s="105">
        <v>0</v>
      </c>
      <c r="O104" s="106">
        <v>0</v>
      </c>
      <c r="P104" s="105">
        <v>0</v>
      </c>
      <c r="Q104" s="106">
        <v>0</v>
      </c>
      <c r="R104" s="105">
        <v>0</v>
      </c>
      <c r="S104" s="106">
        <v>0</v>
      </c>
      <c r="T104" s="105">
        <v>0</v>
      </c>
      <c r="U104" s="105" t="e">
        <f>#REF!*0.08</f>
        <v>#REF!</v>
      </c>
      <c r="V104" s="105" t="e">
        <f>#REF!*0.0214</f>
        <v>#REF!</v>
      </c>
      <c r="W104" s="105" t="e">
        <f>#REF!+U104+V104</f>
        <v>#REF!</v>
      </c>
      <c r="X104" s="110"/>
    </row>
    <row r="105" spans="1:24" s="22" customFormat="1" ht="18" customHeight="1" x14ac:dyDescent="0.25">
      <c r="A105" s="104">
        <v>98</v>
      </c>
      <c r="B105" s="64" t="s">
        <v>252</v>
      </c>
      <c r="C105" s="66">
        <f t="shared" si="3"/>
        <v>4441828</v>
      </c>
      <c r="D105" s="105">
        <f t="shared" si="4"/>
        <v>0</v>
      </c>
      <c r="E105" s="105">
        <v>0</v>
      </c>
      <c r="F105" s="105">
        <v>0</v>
      </c>
      <c r="G105" s="105">
        <v>0</v>
      </c>
      <c r="H105" s="105">
        <v>0</v>
      </c>
      <c r="I105" s="105">
        <v>0</v>
      </c>
      <c r="J105" s="105">
        <v>0</v>
      </c>
      <c r="K105" s="106">
        <v>0</v>
      </c>
      <c r="L105" s="105">
        <v>0</v>
      </c>
      <c r="M105" s="106">
        <v>0</v>
      </c>
      <c r="N105" s="105">
        <v>0</v>
      </c>
      <c r="O105" s="106">
        <v>0</v>
      </c>
      <c r="P105" s="105">
        <v>0</v>
      </c>
      <c r="Q105" s="106">
        <v>3081.4</v>
      </c>
      <c r="R105" s="105">
        <v>4441828</v>
      </c>
      <c r="S105" s="106">
        <v>0</v>
      </c>
      <c r="T105" s="105">
        <v>0</v>
      </c>
      <c r="U105" s="105"/>
      <c r="V105" s="105"/>
      <c r="W105" s="105"/>
      <c r="X105" s="110"/>
    </row>
    <row r="106" spans="1:24" s="22" customFormat="1" ht="15" customHeight="1" x14ac:dyDescent="0.25">
      <c r="A106" s="104">
        <v>99</v>
      </c>
      <c r="B106" s="64" t="s">
        <v>190</v>
      </c>
      <c r="C106" s="66">
        <f t="shared" si="3"/>
        <v>3748390</v>
      </c>
      <c r="D106" s="105">
        <f t="shared" si="4"/>
        <v>0</v>
      </c>
      <c r="E106" s="105">
        <v>0</v>
      </c>
      <c r="F106" s="105">
        <v>0</v>
      </c>
      <c r="G106" s="105">
        <v>0</v>
      </c>
      <c r="H106" s="105">
        <v>0</v>
      </c>
      <c r="I106" s="105">
        <v>0</v>
      </c>
      <c r="J106" s="105">
        <v>0</v>
      </c>
      <c r="K106" s="106">
        <v>2</v>
      </c>
      <c r="L106" s="105">
        <v>3748390</v>
      </c>
      <c r="M106" s="106">
        <v>0</v>
      </c>
      <c r="N106" s="105">
        <v>0</v>
      </c>
      <c r="O106" s="106">
        <v>0</v>
      </c>
      <c r="P106" s="105">
        <v>0</v>
      </c>
      <c r="Q106" s="106">
        <v>0</v>
      </c>
      <c r="R106" s="105">
        <v>0</v>
      </c>
      <c r="S106" s="106">
        <v>0</v>
      </c>
      <c r="T106" s="105">
        <v>0</v>
      </c>
      <c r="U106" s="105"/>
      <c r="V106" s="105"/>
      <c r="W106" s="105"/>
      <c r="X106" s="110"/>
    </row>
    <row r="107" spans="1:24" s="22" customFormat="1" ht="15" customHeight="1" x14ac:dyDescent="0.25">
      <c r="A107" s="104">
        <v>100</v>
      </c>
      <c r="B107" s="64" t="s">
        <v>150</v>
      </c>
      <c r="C107" s="66">
        <f t="shared" si="3"/>
        <v>1492412</v>
      </c>
      <c r="D107" s="105">
        <f t="shared" si="4"/>
        <v>0</v>
      </c>
      <c r="E107" s="105">
        <v>0</v>
      </c>
      <c r="F107" s="105">
        <v>0</v>
      </c>
      <c r="G107" s="105">
        <v>0</v>
      </c>
      <c r="H107" s="105">
        <v>0</v>
      </c>
      <c r="I107" s="105">
        <v>0</v>
      </c>
      <c r="J107" s="105">
        <v>0</v>
      </c>
      <c r="K107" s="106">
        <v>0</v>
      </c>
      <c r="L107" s="105">
        <v>0</v>
      </c>
      <c r="M107" s="106">
        <v>752</v>
      </c>
      <c r="N107" s="105">
        <v>1492412</v>
      </c>
      <c r="O107" s="106">
        <v>0</v>
      </c>
      <c r="P107" s="105">
        <v>0</v>
      </c>
      <c r="Q107" s="106">
        <v>0</v>
      </c>
      <c r="R107" s="105">
        <v>0</v>
      </c>
      <c r="S107" s="106">
        <v>0</v>
      </c>
      <c r="T107" s="105">
        <v>0</v>
      </c>
      <c r="U107" s="105"/>
      <c r="V107" s="105"/>
      <c r="W107" s="105"/>
      <c r="X107" s="110"/>
    </row>
    <row r="108" spans="1:24" s="22" customFormat="1" ht="15" customHeight="1" x14ac:dyDescent="0.25">
      <c r="A108" s="104">
        <v>101</v>
      </c>
      <c r="B108" s="64" t="s">
        <v>72</v>
      </c>
      <c r="C108" s="66">
        <f t="shared" si="3"/>
        <v>1364714</v>
      </c>
      <c r="D108" s="105">
        <f t="shared" si="4"/>
        <v>350912</v>
      </c>
      <c r="E108" s="105">
        <v>350912</v>
      </c>
      <c r="F108" s="105">
        <v>0</v>
      </c>
      <c r="G108" s="105">
        <v>0</v>
      </c>
      <c r="H108" s="105">
        <v>0</v>
      </c>
      <c r="I108" s="105">
        <v>0</v>
      </c>
      <c r="J108" s="105">
        <v>0</v>
      </c>
      <c r="K108" s="106">
        <v>0</v>
      </c>
      <c r="L108" s="105">
        <v>0</v>
      </c>
      <c r="M108" s="106">
        <v>0</v>
      </c>
      <c r="N108" s="105">
        <v>0</v>
      </c>
      <c r="O108" s="106">
        <v>0</v>
      </c>
      <c r="P108" s="105">
        <v>0</v>
      </c>
      <c r="Q108" s="106">
        <v>1105</v>
      </c>
      <c r="R108" s="105">
        <v>1013802</v>
      </c>
      <c r="S108" s="106">
        <v>0</v>
      </c>
      <c r="T108" s="105">
        <v>0</v>
      </c>
      <c r="U108" s="105"/>
      <c r="V108" s="105"/>
      <c r="W108" s="105"/>
      <c r="X108" s="110"/>
    </row>
    <row r="109" spans="1:24" s="22" customFormat="1" ht="15" customHeight="1" x14ac:dyDescent="0.25">
      <c r="A109" s="104">
        <v>102</v>
      </c>
      <c r="B109" s="64" t="s">
        <v>169</v>
      </c>
      <c r="C109" s="66">
        <f t="shared" si="3"/>
        <v>193826</v>
      </c>
      <c r="D109" s="105">
        <f t="shared" si="4"/>
        <v>193826</v>
      </c>
      <c r="E109" s="105">
        <v>193826</v>
      </c>
      <c r="F109" s="105">
        <v>0</v>
      </c>
      <c r="G109" s="105">
        <v>0</v>
      </c>
      <c r="H109" s="105">
        <v>0</v>
      </c>
      <c r="I109" s="105">
        <v>0</v>
      </c>
      <c r="J109" s="105">
        <v>0</v>
      </c>
      <c r="K109" s="106">
        <v>0</v>
      </c>
      <c r="L109" s="105">
        <v>0</v>
      </c>
      <c r="M109" s="106">
        <v>0</v>
      </c>
      <c r="N109" s="105">
        <v>0</v>
      </c>
      <c r="O109" s="106">
        <v>0</v>
      </c>
      <c r="P109" s="105">
        <v>0</v>
      </c>
      <c r="Q109" s="106">
        <v>0</v>
      </c>
      <c r="R109" s="105">
        <v>0</v>
      </c>
      <c r="S109" s="106">
        <v>0</v>
      </c>
      <c r="T109" s="105">
        <v>0</v>
      </c>
      <c r="U109" s="105"/>
      <c r="V109" s="105"/>
      <c r="W109" s="105"/>
      <c r="X109" s="110"/>
    </row>
    <row r="110" spans="1:24" s="22" customFormat="1" ht="15" customHeight="1" x14ac:dyDescent="0.25">
      <c r="A110" s="104">
        <v>103</v>
      </c>
      <c r="B110" s="64" t="s">
        <v>79</v>
      </c>
      <c r="C110" s="66">
        <f t="shared" si="3"/>
        <v>402530.2</v>
      </c>
      <c r="D110" s="105">
        <f t="shared" si="4"/>
        <v>402530.2</v>
      </c>
      <c r="E110" s="105">
        <v>402530.2</v>
      </c>
      <c r="F110" s="105">
        <v>0</v>
      </c>
      <c r="G110" s="105">
        <v>0</v>
      </c>
      <c r="H110" s="105">
        <v>0</v>
      </c>
      <c r="I110" s="105">
        <v>0</v>
      </c>
      <c r="J110" s="105">
        <v>0</v>
      </c>
      <c r="K110" s="106">
        <v>0</v>
      </c>
      <c r="L110" s="105">
        <v>0</v>
      </c>
      <c r="M110" s="106">
        <v>0</v>
      </c>
      <c r="N110" s="105">
        <v>0</v>
      </c>
      <c r="O110" s="106">
        <v>0</v>
      </c>
      <c r="P110" s="105">
        <v>0</v>
      </c>
      <c r="Q110" s="106">
        <v>0</v>
      </c>
      <c r="R110" s="105">
        <v>0</v>
      </c>
      <c r="S110" s="106">
        <v>0</v>
      </c>
      <c r="T110" s="105">
        <v>0</v>
      </c>
      <c r="U110" s="108"/>
      <c r="V110" s="108"/>
      <c r="W110" s="108"/>
      <c r="X110" s="109"/>
    </row>
    <row r="111" spans="1:24" s="22" customFormat="1" ht="15" customHeight="1" x14ac:dyDescent="0.25">
      <c r="A111" s="104">
        <v>104</v>
      </c>
      <c r="B111" s="64" t="s">
        <v>138</v>
      </c>
      <c r="C111" s="66">
        <f t="shared" si="3"/>
        <v>1612780</v>
      </c>
      <c r="D111" s="105">
        <f t="shared" si="4"/>
        <v>0</v>
      </c>
      <c r="E111" s="105">
        <v>0</v>
      </c>
      <c r="F111" s="105">
        <v>0</v>
      </c>
      <c r="G111" s="105">
        <v>0</v>
      </c>
      <c r="H111" s="105">
        <v>0</v>
      </c>
      <c r="I111" s="105">
        <v>0</v>
      </c>
      <c r="J111" s="105">
        <v>0</v>
      </c>
      <c r="K111" s="106">
        <v>0</v>
      </c>
      <c r="L111" s="105">
        <v>0</v>
      </c>
      <c r="M111" s="106">
        <v>810.5</v>
      </c>
      <c r="N111" s="105">
        <v>1612780</v>
      </c>
      <c r="O111" s="106">
        <v>0</v>
      </c>
      <c r="P111" s="105">
        <v>0</v>
      </c>
      <c r="Q111" s="106">
        <v>0</v>
      </c>
      <c r="R111" s="105">
        <v>0</v>
      </c>
      <c r="S111" s="106">
        <v>0</v>
      </c>
      <c r="T111" s="105">
        <v>0</v>
      </c>
      <c r="U111" s="105"/>
      <c r="V111" s="105"/>
      <c r="W111" s="105"/>
      <c r="X111" s="110"/>
    </row>
    <row r="112" spans="1:24" s="22" customFormat="1" ht="15" customHeight="1" x14ac:dyDescent="0.25">
      <c r="A112" s="104">
        <v>105</v>
      </c>
      <c r="B112" s="64" t="s">
        <v>208</v>
      </c>
      <c r="C112" s="66">
        <f t="shared" si="3"/>
        <v>766539</v>
      </c>
      <c r="D112" s="105">
        <f t="shared" si="4"/>
        <v>0</v>
      </c>
      <c r="E112" s="105">
        <v>0</v>
      </c>
      <c r="F112" s="105">
        <v>0</v>
      </c>
      <c r="G112" s="105">
        <v>0</v>
      </c>
      <c r="H112" s="105">
        <v>0</v>
      </c>
      <c r="I112" s="105">
        <v>0</v>
      </c>
      <c r="J112" s="105">
        <v>0</v>
      </c>
      <c r="K112" s="106">
        <v>0</v>
      </c>
      <c r="L112" s="105">
        <v>0</v>
      </c>
      <c r="M112" s="106">
        <v>378.5</v>
      </c>
      <c r="N112" s="105">
        <v>766539</v>
      </c>
      <c r="O112" s="106">
        <v>0</v>
      </c>
      <c r="P112" s="105">
        <v>0</v>
      </c>
      <c r="Q112" s="106">
        <v>0</v>
      </c>
      <c r="R112" s="105">
        <v>0</v>
      </c>
      <c r="S112" s="106">
        <v>0</v>
      </c>
      <c r="T112" s="105">
        <v>0</v>
      </c>
      <c r="U112" s="105"/>
      <c r="V112" s="105"/>
      <c r="W112" s="105"/>
      <c r="X112" s="110"/>
    </row>
    <row r="113" spans="1:24" s="22" customFormat="1" ht="15" customHeight="1" x14ac:dyDescent="0.25">
      <c r="A113" s="104">
        <v>106</v>
      </c>
      <c r="B113" s="64" t="s">
        <v>209</v>
      </c>
      <c r="C113" s="66">
        <f t="shared" si="3"/>
        <v>7892437</v>
      </c>
      <c r="D113" s="105">
        <f t="shared" si="4"/>
        <v>7892437</v>
      </c>
      <c r="E113" s="105">
        <v>0</v>
      </c>
      <c r="F113" s="105">
        <v>7892437</v>
      </c>
      <c r="G113" s="105">
        <v>0</v>
      </c>
      <c r="H113" s="105">
        <v>0</v>
      </c>
      <c r="I113" s="105">
        <v>0</v>
      </c>
      <c r="J113" s="105">
        <v>0</v>
      </c>
      <c r="K113" s="106">
        <v>0</v>
      </c>
      <c r="L113" s="105">
        <v>0</v>
      </c>
      <c r="M113" s="106">
        <v>0</v>
      </c>
      <c r="N113" s="105">
        <v>0</v>
      </c>
      <c r="O113" s="106">
        <v>0</v>
      </c>
      <c r="P113" s="105">
        <v>0</v>
      </c>
      <c r="Q113" s="106">
        <v>0</v>
      </c>
      <c r="R113" s="105">
        <v>0</v>
      </c>
      <c r="S113" s="106">
        <v>0</v>
      </c>
      <c r="T113" s="105">
        <v>0</v>
      </c>
      <c r="U113" s="105"/>
      <c r="V113" s="105"/>
      <c r="W113" s="105"/>
      <c r="X113" s="110"/>
    </row>
    <row r="114" spans="1:24" s="22" customFormat="1" ht="15" customHeight="1" x14ac:dyDescent="0.25">
      <c r="A114" s="104">
        <v>107</v>
      </c>
      <c r="B114" s="64" t="s">
        <v>199</v>
      </c>
      <c r="C114" s="66">
        <f t="shared" si="3"/>
        <v>1549577</v>
      </c>
      <c r="D114" s="105">
        <f t="shared" si="4"/>
        <v>1549577</v>
      </c>
      <c r="E114" s="105">
        <v>0</v>
      </c>
      <c r="F114" s="105">
        <v>0</v>
      </c>
      <c r="G114" s="105">
        <v>0</v>
      </c>
      <c r="H114" s="105">
        <v>0</v>
      </c>
      <c r="I114" s="105">
        <v>1549577</v>
      </c>
      <c r="J114" s="105">
        <v>0</v>
      </c>
      <c r="K114" s="106">
        <v>0</v>
      </c>
      <c r="L114" s="105">
        <v>0</v>
      </c>
      <c r="M114" s="106">
        <v>0</v>
      </c>
      <c r="N114" s="105">
        <v>0</v>
      </c>
      <c r="O114" s="106">
        <v>0</v>
      </c>
      <c r="P114" s="105">
        <v>0</v>
      </c>
      <c r="Q114" s="106">
        <v>0</v>
      </c>
      <c r="R114" s="105">
        <v>0</v>
      </c>
      <c r="S114" s="106">
        <v>0</v>
      </c>
      <c r="T114" s="105">
        <v>0</v>
      </c>
      <c r="U114" s="105"/>
      <c r="V114" s="105"/>
      <c r="W114" s="105"/>
      <c r="X114" s="110"/>
    </row>
    <row r="115" spans="1:24" s="22" customFormat="1" ht="15" customHeight="1" x14ac:dyDescent="0.25">
      <c r="A115" s="104">
        <v>108</v>
      </c>
      <c r="B115" s="64" t="s">
        <v>156</v>
      </c>
      <c r="C115" s="66">
        <f t="shared" si="3"/>
        <v>1544359.54</v>
      </c>
      <c r="D115" s="105">
        <f t="shared" si="4"/>
        <v>1544359.54</v>
      </c>
      <c r="E115" s="105">
        <v>0</v>
      </c>
      <c r="F115" s="105">
        <v>0</v>
      </c>
      <c r="G115" s="105">
        <v>392417.07</v>
      </c>
      <c r="H115" s="105">
        <v>528845.21</v>
      </c>
      <c r="I115" s="105">
        <v>305122.88</v>
      </c>
      <c r="J115" s="106">
        <v>317974.38</v>
      </c>
      <c r="K115" s="106">
        <v>0</v>
      </c>
      <c r="L115" s="105">
        <v>0</v>
      </c>
      <c r="M115" s="106">
        <v>0</v>
      </c>
      <c r="N115" s="105">
        <v>0</v>
      </c>
      <c r="O115" s="106">
        <v>0</v>
      </c>
      <c r="P115" s="105">
        <v>0</v>
      </c>
      <c r="Q115" s="106">
        <v>0</v>
      </c>
      <c r="R115" s="105">
        <v>0</v>
      </c>
      <c r="S115" s="106">
        <v>0</v>
      </c>
      <c r="T115" s="105">
        <v>0</v>
      </c>
      <c r="U115" s="105"/>
      <c r="V115" s="105"/>
      <c r="W115" s="105"/>
      <c r="X115" s="110"/>
    </row>
    <row r="116" spans="1:24" s="22" customFormat="1" ht="15" customHeight="1" x14ac:dyDescent="0.25">
      <c r="A116" s="104">
        <v>109</v>
      </c>
      <c r="B116" s="64" t="s">
        <v>173</v>
      </c>
      <c r="C116" s="66">
        <f t="shared" si="3"/>
        <v>3045081</v>
      </c>
      <c r="D116" s="105">
        <f t="shared" si="4"/>
        <v>0</v>
      </c>
      <c r="E116" s="105">
        <v>0</v>
      </c>
      <c r="F116" s="105">
        <v>0</v>
      </c>
      <c r="G116" s="105">
        <v>0</v>
      </c>
      <c r="H116" s="105">
        <v>0</v>
      </c>
      <c r="I116" s="105">
        <v>0</v>
      </c>
      <c r="J116" s="105">
        <v>0</v>
      </c>
      <c r="K116" s="106">
        <v>0</v>
      </c>
      <c r="L116" s="105">
        <v>0</v>
      </c>
      <c r="M116" s="106">
        <v>0</v>
      </c>
      <c r="N116" s="105">
        <v>0</v>
      </c>
      <c r="O116" s="106">
        <v>0</v>
      </c>
      <c r="P116" s="105">
        <v>0</v>
      </c>
      <c r="Q116" s="106">
        <v>2108</v>
      </c>
      <c r="R116" s="105">
        <v>3045081</v>
      </c>
      <c r="S116" s="106">
        <v>0</v>
      </c>
      <c r="T116" s="105">
        <v>0</v>
      </c>
      <c r="U116" s="105"/>
      <c r="V116" s="105"/>
      <c r="W116" s="105"/>
      <c r="X116" s="110"/>
    </row>
    <row r="117" spans="1:24" s="22" customFormat="1" ht="15.75" customHeight="1" x14ac:dyDescent="0.25">
      <c r="A117" s="104">
        <v>110</v>
      </c>
      <c r="B117" s="64" t="s">
        <v>117</v>
      </c>
      <c r="C117" s="66">
        <f t="shared" si="3"/>
        <v>517739</v>
      </c>
      <c r="D117" s="105">
        <f t="shared" si="4"/>
        <v>0</v>
      </c>
      <c r="E117" s="105">
        <v>0</v>
      </c>
      <c r="F117" s="105">
        <v>0</v>
      </c>
      <c r="G117" s="105">
        <v>0</v>
      </c>
      <c r="H117" s="105">
        <v>0</v>
      </c>
      <c r="I117" s="105">
        <v>0</v>
      </c>
      <c r="J117" s="105">
        <v>0</v>
      </c>
      <c r="K117" s="106">
        <v>0</v>
      </c>
      <c r="L117" s="105">
        <v>0</v>
      </c>
      <c r="M117" s="106">
        <v>252</v>
      </c>
      <c r="N117" s="66">
        <v>517739</v>
      </c>
      <c r="O117" s="106">
        <v>0</v>
      </c>
      <c r="P117" s="105">
        <v>0</v>
      </c>
      <c r="Q117" s="106">
        <v>0</v>
      </c>
      <c r="R117" s="105">
        <v>0</v>
      </c>
      <c r="S117" s="106">
        <v>0</v>
      </c>
      <c r="T117" s="105">
        <v>0</v>
      </c>
      <c r="U117" s="105"/>
      <c r="V117" s="105"/>
      <c r="W117" s="105"/>
      <c r="X117" s="110"/>
    </row>
    <row r="118" spans="1:24" s="22" customFormat="1" ht="15" customHeight="1" x14ac:dyDescent="0.25">
      <c r="A118" s="104">
        <v>111</v>
      </c>
      <c r="B118" s="64" t="s">
        <v>260</v>
      </c>
      <c r="C118" s="66">
        <f t="shared" si="3"/>
        <v>2421596</v>
      </c>
      <c r="D118" s="105">
        <f t="shared" si="4"/>
        <v>0</v>
      </c>
      <c r="E118" s="105">
        <v>0</v>
      </c>
      <c r="F118" s="105">
        <v>0</v>
      </c>
      <c r="G118" s="105">
        <v>0</v>
      </c>
      <c r="H118" s="105">
        <v>0</v>
      </c>
      <c r="I118" s="105">
        <v>0</v>
      </c>
      <c r="J118" s="105">
        <v>0</v>
      </c>
      <c r="K118" s="106">
        <v>0</v>
      </c>
      <c r="L118" s="105">
        <v>0</v>
      </c>
      <c r="M118" s="106">
        <v>1230.72</v>
      </c>
      <c r="N118" s="66">
        <v>2421596</v>
      </c>
      <c r="O118" s="106">
        <v>0</v>
      </c>
      <c r="P118" s="105">
        <v>0</v>
      </c>
      <c r="Q118" s="106">
        <v>0</v>
      </c>
      <c r="R118" s="105">
        <v>0</v>
      </c>
      <c r="S118" s="106">
        <v>0</v>
      </c>
      <c r="T118" s="105">
        <v>0</v>
      </c>
      <c r="U118" s="105"/>
      <c r="V118" s="105"/>
      <c r="W118" s="105"/>
      <c r="X118" s="110"/>
    </row>
    <row r="119" spans="1:24" s="22" customFormat="1" ht="15" customHeight="1" x14ac:dyDescent="0.25">
      <c r="A119" s="104">
        <v>112</v>
      </c>
      <c r="B119" s="64" t="s">
        <v>253</v>
      </c>
      <c r="C119" s="66">
        <f t="shared" si="3"/>
        <v>1870046</v>
      </c>
      <c r="D119" s="105">
        <f t="shared" si="4"/>
        <v>0</v>
      </c>
      <c r="E119" s="105">
        <v>0</v>
      </c>
      <c r="F119" s="105">
        <v>0</v>
      </c>
      <c r="G119" s="105">
        <v>0</v>
      </c>
      <c r="H119" s="105">
        <v>0</v>
      </c>
      <c r="I119" s="105">
        <v>0</v>
      </c>
      <c r="J119" s="105">
        <v>0</v>
      </c>
      <c r="K119" s="106">
        <v>1</v>
      </c>
      <c r="L119" s="105">
        <v>1870046</v>
      </c>
      <c r="M119" s="106">
        <v>0</v>
      </c>
      <c r="N119" s="105">
        <v>0</v>
      </c>
      <c r="O119" s="106">
        <v>0</v>
      </c>
      <c r="P119" s="105">
        <v>0</v>
      </c>
      <c r="Q119" s="106">
        <v>0</v>
      </c>
      <c r="R119" s="105">
        <v>0</v>
      </c>
      <c r="S119" s="106">
        <v>0</v>
      </c>
      <c r="T119" s="105">
        <v>0</v>
      </c>
      <c r="U119" s="105"/>
      <c r="V119" s="105"/>
      <c r="W119" s="105"/>
      <c r="X119" s="110"/>
    </row>
    <row r="120" spans="1:24" s="22" customFormat="1" ht="15" customHeight="1" x14ac:dyDescent="0.25">
      <c r="A120" s="104">
        <v>113</v>
      </c>
      <c r="B120" s="64" t="s">
        <v>73</v>
      </c>
      <c r="C120" s="66">
        <f t="shared" si="3"/>
        <v>9789326.5500000007</v>
      </c>
      <c r="D120" s="105">
        <f t="shared" si="4"/>
        <v>6592990.5599999996</v>
      </c>
      <c r="E120" s="105">
        <v>2087560.8</v>
      </c>
      <c r="F120" s="105">
        <v>4505429.76</v>
      </c>
      <c r="G120" s="105">
        <v>0</v>
      </c>
      <c r="H120" s="105">
        <v>0</v>
      </c>
      <c r="I120" s="105">
        <v>0</v>
      </c>
      <c r="J120" s="105">
        <v>0</v>
      </c>
      <c r="K120" s="106">
        <v>0</v>
      </c>
      <c r="L120" s="105">
        <v>0</v>
      </c>
      <c r="M120" s="106">
        <v>2090</v>
      </c>
      <c r="N120" s="105">
        <v>3196335.99</v>
      </c>
      <c r="O120" s="106">
        <v>0</v>
      </c>
      <c r="P120" s="105">
        <v>0</v>
      </c>
      <c r="Q120" s="106">
        <v>0</v>
      </c>
      <c r="R120" s="105">
        <v>0</v>
      </c>
      <c r="S120" s="106">
        <v>0</v>
      </c>
      <c r="T120" s="105">
        <v>0</v>
      </c>
      <c r="U120" s="108"/>
      <c r="V120" s="108"/>
      <c r="W120" s="108"/>
      <c r="X120" s="109"/>
    </row>
    <row r="121" spans="1:24" s="22" customFormat="1" ht="15" customHeight="1" x14ac:dyDescent="0.25">
      <c r="A121" s="104">
        <v>114</v>
      </c>
      <c r="B121" s="64" t="s">
        <v>103</v>
      </c>
      <c r="C121" s="66">
        <f t="shared" si="3"/>
        <v>2368392</v>
      </c>
      <c r="D121" s="105">
        <f t="shared" si="4"/>
        <v>0</v>
      </c>
      <c r="E121" s="105">
        <v>0</v>
      </c>
      <c r="F121" s="105">
        <v>0</v>
      </c>
      <c r="G121" s="105">
        <v>0</v>
      </c>
      <c r="H121" s="105">
        <v>0</v>
      </c>
      <c r="I121" s="105">
        <v>0</v>
      </c>
      <c r="J121" s="105">
        <v>0</v>
      </c>
      <c r="K121" s="106">
        <v>0</v>
      </c>
      <c r="L121" s="105">
        <v>0</v>
      </c>
      <c r="M121" s="106">
        <v>1200</v>
      </c>
      <c r="N121" s="66">
        <v>2368392</v>
      </c>
      <c r="O121" s="106">
        <v>0</v>
      </c>
      <c r="P121" s="105">
        <v>0</v>
      </c>
      <c r="Q121" s="106">
        <v>0</v>
      </c>
      <c r="R121" s="105">
        <v>0</v>
      </c>
      <c r="S121" s="106">
        <v>0</v>
      </c>
      <c r="T121" s="105">
        <v>0</v>
      </c>
      <c r="U121" s="105"/>
      <c r="V121" s="105"/>
      <c r="W121" s="105"/>
      <c r="X121" s="110"/>
    </row>
    <row r="122" spans="1:24" s="22" customFormat="1" ht="15" customHeight="1" x14ac:dyDescent="0.25">
      <c r="A122" s="104">
        <v>115</v>
      </c>
      <c r="B122" s="64" t="s">
        <v>89</v>
      </c>
      <c r="C122" s="66">
        <f t="shared" si="3"/>
        <v>1728895</v>
      </c>
      <c r="D122" s="105">
        <f t="shared" si="4"/>
        <v>0</v>
      </c>
      <c r="E122" s="105">
        <v>0</v>
      </c>
      <c r="F122" s="105">
        <v>0</v>
      </c>
      <c r="G122" s="105">
        <v>0</v>
      </c>
      <c r="H122" s="105">
        <v>0</v>
      </c>
      <c r="I122" s="105">
        <v>0</v>
      </c>
      <c r="J122" s="105">
        <v>0</v>
      </c>
      <c r="K122" s="106">
        <v>0</v>
      </c>
      <c r="L122" s="105">
        <v>0</v>
      </c>
      <c r="M122" s="106">
        <v>873.06</v>
      </c>
      <c r="N122" s="105">
        <v>1728895</v>
      </c>
      <c r="O122" s="107">
        <v>0</v>
      </c>
      <c r="P122" s="105">
        <v>0</v>
      </c>
      <c r="Q122" s="107">
        <v>0</v>
      </c>
      <c r="R122" s="105">
        <v>0</v>
      </c>
      <c r="S122" s="106">
        <v>0</v>
      </c>
      <c r="T122" s="105">
        <v>0</v>
      </c>
      <c r="U122" s="108"/>
      <c r="V122" s="108"/>
      <c r="W122" s="108"/>
      <c r="X122" s="109"/>
    </row>
    <row r="123" spans="1:24" s="22" customFormat="1" ht="15" customHeight="1" x14ac:dyDescent="0.25">
      <c r="A123" s="104">
        <v>116</v>
      </c>
      <c r="B123" s="64" t="s">
        <v>84</v>
      </c>
      <c r="C123" s="66">
        <f t="shared" si="3"/>
        <v>2652530</v>
      </c>
      <c r="D123" s="105">
        <f t="shared" si="4"/>
        <v>2652530</v>
      </c>
      <c r="E123" s="105">
        <v>0</v>
      </c>
      <c r="F123" s="105">
        <v>0</v>
      </c>
      <c r="G123" s="105">
        <v>0</v>
      </c>
      <c r="H123" s="105">
        <v>2652530</v>
      </c>
      <c r="I123" s="105">
        <v>0</v>
      </c>
      <c r="J123" s="105">
        <v>0</v>
      </c>
      <c r="K123" s="106">
        <v>0</v>
      </c>
      <c r="L123" s="105">
        <v>0</v>
      </c>
      <c r="M123" s="107">
        <v>0</v>
      </c>
      <c r="N123" s="105">
        <v>0</v>
      </c>
      <c r="O123" s="106">
        <v>0</v>
      </c>
      <c r="P123" s="105">
        <v>0</v>
      </c>
      <c r="Q123" s="107">
        <v>0</v>
      </c>
      <c r="R123" s="105">
        <v>0</v>
      </c>
      <c r="S123" s="106">
        <v>0</v>
      </c>
      <c r="T123" s="105">
        <v>0</v>
      </c>
      <c r="U123" s="108"/>
      <c r="V123" s="108"/>
      <c r="W123" s="108"/>
      <c r="X123" s="109"/>
    </row>
    <row r="124" spans="1:24" s="22" customFormat="1" ht="15" customHeight="1" x14ac:dyDescent="0.25">
      <c r="A124" s="104">
        <v>117</v>
      </c>
      <c r="B124" s="64" t="s">
        <v>80</v>
      </c>
      <c r="C124" s="66">
        <f t="shared" si="3"/>
        <v>1535065.47</v>
      </c>
      <c r="D124" s="105">
        <f t="shared" si="4"/>
        <v>0</v>
      </c>
      <c r="E124" s="105">
        <v>0</v>
      </c>
      <c r="F124" s="105">
        <v>0</v>
      </c>
      <c r="G124" s="105">
        <v>0</v>
      </c>
      <c r="H124" s="105">
        <v>0</v>
      </c>
      <c r="I124" s="105">
        <v>0</v>
      </c>
      <c r="J124" s="105">
        <v>0</v>
      </c>
      <c r="K124" s="106">
        <v>0</v>
      </c>
      <c r="L124" s="105">
        <v>0</v>
      </c>
      <c r="M124" s="106">
        <v>0</v>
      </c>
      <c r="N124" s="105">
        <v>0</v>
      </c>
      <c r="O124" s="106">
        <v>0</v>
      </c>
      <c r="P124" s="105">
        <v>0</v>
      </c>
      <c r="Q124" s="106">
        <v>1641</v>
      </c>
      <c r="R124" s="105">
        <v>1535065.47</v>
      </c>
      <c r="S124" s="106">
        <v>0</v>
      </c>
      <c r="T124" s="105">
        <v>0</v>
      </c>
      <c r="U124" s="108"/>
      <c r="V124" s="108"/>
      <c r="W124" s="108"/>
      <c r="X124" s="109"/>
    </row>
    <row r="125" spans="1:24" s="22" customFormat="1" ht="15" customHeight="1" x14ac:dyDescent="0.25">
      <c r="A125" s="104">
        <v>118</v>
      </c>
      <c r="B125" s="64" t="s">
        <v>207</v>
      </c>
      <c r="C125" s="66">
        <f t="shared" si="3"/>
        <v>1787034</v>
      </c>
      <c r="D125" s="105">
        <f t="shared" si="4"/>
        <v>0</v>
      </c>
      <c r="E125" s="105">
        <v>0</v>
      </c>
      <c r="F125" s="105">
        <v>0</v>
      </c>
      <c r="G125" s="105">
        <v>0</v>
      </c>
      <c r="H125" s="105">
        <v>0</v>
      </c>
      <c r="I125" s="105">
        <v>0</v>
      </c>
      <c r="J125" s="105">
        <v>0</v>
      </c>
      <c r="K125" s="106">
        <v>1</v>
      </c>
      <c r="L125" s="105">
        <v>1787034</v>
      </c>
      <c r="M125" s="106">
        <v>0</v>
      </c>
      <c r="N125" s="105">
        <v>0</v>
      </c>
      <c r="O125" s="106">
        <v>0</v>
      </c>
      <c r="P125" s="105">
        <v>0</v>
      </c>
      <c r="Q125" s="107">
        <v>0</v>
      </c>
      <c r="R125" s="105">
        <v>0</v>
      </c>
      <c r="S125" s="106">
        <v>0</v>
      </c>
      <c r="T125" s="105">
        <v>0</v>
      </c>
      <c r="U125" s="105"/>
      <c r="V125" s="105"/>
      <c r="W125" s="105"/>
      <c r="X125" s="110"/>
    </row>
    <row r="126" spans="1:24" s="22" customFormat="1" ht="15" customHeight="1" x14ac:dyDescent="0.25">
      <c r="A126" s="104">
        <v>119</v>
      </c>
      <c r="B126" s="64" t="s">
        <v>162</v>
      </c>
      <c r="C126" s="66">
        <f t="shared" si="3"/>
        <v>2056608</v>
      </c>
      <c r="D126" s="105">
        <f t="shared" si="4"/>
        <v>2056608</v>
      </c>
      <c r="E126" s="105">
        <v>2056608</v>
      </c>
      <c r="F126" s="105">
        <v>0</v>
      </c>
      <c r="G126" s="105">
        <v>0</v>
      </c>
      <c r="H126" s="105">
        <v>0</v>
      </c>
      <c r="I126" s="105">
        <v>0</v>
      </c>
      <c r="J126" s="105">
        <v>0</v>
      </c>
      <c r="K126" s="106">
        <v>0</v>
      </c>
      <c r="L126" s="105">
        <v>0</v>
      </c>
      <c r="M126" s="106">
        <v>0</v>
      </c>
      <c r="N126" s="105">
        <v>0</v>
      </c>
      <c r="O126" s="106">
        <v>0</v>
      </c>
      <c r="P126" s="105">
        <v>0</v>
      </c>
      <c r="Q126" s="107">
        <v>0</v>
      </c>
      <c r="R126" s="105">
        <v>0</v>
      </c>
      <c r="S126" s="106">
        <v>0</v>
      </c>
      <c r="T126" s="105">
        <v>0</v>
      </c>
      <c r="U126" s="105"/>
      <c r="V126" s="105"/>
      <c r="W126" s="105"/>
      <c r="X126" s="110"/>
    </row>
    <row r="127" spans="1:24" s="22" customFormat="1" ht="15" customHeight="1" x14ac:dyDescent="0.25">
      <c r="A127" s="104">
        <v>120</v>
      </c>
      <c r="B127" s="64" t="s">
        <v>163</v>
      </c>
      <c r="C127" s="66">
        <f t="shared" si="3"/>
        <v>582157</v>
      </c>
      <c r="D127" s="105">
        <f t="shared" si="4"/>
        <v>0</v>
      </c>
      <c r="E127" s="105">
        <v>0</v>
      </c>
      <c r="F127" s="105">
        <v>0</v>
      </c>
      <c r="G127" s="105">
        <v>0</v>
      </c>
      <c r="H127" s="105">
        <v>0</v>
      </c>
      <c r="I127" s="105">
        <v>0</v>
      </c>
      <c r="J127" s="105">
        <v>0</v>
      </c>
      <c r="K127" s="106">
        <v>0</v>
      </c>
      <c r="L127" s="105">
        <v>0</v>
      </c>
      <c r="M127" s="106">
        <v>285</v>
      </c>
      <c r="N127" s="105">
        <v>582157</v>
      </c>
      <c r="O127" s="106">
        <v>0</v>
      </c>
      <c r="P127" s="105">
        <v>0</v>
      </c>
      <c r="Q127" s="107">
        <v>0</v>
      </c>
      <c r="R127" s="105">
        <v>0</v>
      </c>
      <c r="S127" s="106">
        <v>0</v>
      </c>
      <c r="T127" s="105">
        <v>0</v>
      </c>
      <c r="U127" s="105"/>
      <c r="V127" s="105"/>
      <c r="W127" s="105"/>
      <c r="X127" s="110"/>
    </row>
    <row r="128" spans="1:24" s="22" customFormat="1" ht="15" customHeight="1" x14ac:dyDescent="0.25">
      <c r="A128" s="104">
        <v>121</v>
      </c>
      <c r="B128" s="64" t="s">
        <v>161</v>
      </c>
      <c r="C128" s="66">
        <f t="shared" si="3"/>
        <v>3763756</v>
      </c>
      <c r="D128" s="105">
        <f t="shared" si="4"/>
        <v>0</v>
      </c>
      <c r="E128" s="105">
        <v>0</v>
      </c>
      <c r="F128" s="105">
        <v>0</v>
      </c>
      <c r="G128" s="105">
        <v>0</v>
      </c>
      <c r="H128" s="105">
        <v>0</v>
      </c>
      <c r="I128" s="105">
        <v>0</v>
      </c>
      <c r="J128" s="105">
        <v>0</v>
      </c>
      <c r="K128" s="106">
        <v>2</v>
      </c>
      <c r="L128" s="105">
        <v>3763756</v>
      </c>
      <c r="M128" s="106">
        <v>0</v>
      </c>
      <c r="N128" s="105">
        <v>0</v>
      </c>
      <c r="O128" s="106">
        <v>0</v>
      </c>
      <c r="P128" s="105">
        <v>0</v>
      </c>
      <c r="Q128" s="107">
        <v>0</v>
      </c>
      <c r="R128" s="105">
        <v>0</v>
      </c>
      <c r="S128" s="106">
        <v>0</v>
      </c>
      <c r="T128" s="105">
        <v>0</v>
      </c>
      <c r="U128" s="105"/>
      <c r="V128" s="105"/>
      <c r="W128" s="105"/>
      <c r="X128" s="110"/>
    </row>
    <row r="129" spans="1:24" s="22" customFormat="1" ht="15" customHeight="1" x14ac:dyDescent="0.25">
      <c r="A129" s="104">
        <v>122</v>
      </c>
      <c r="B129" s="64" t="s">
        <v>133</v>
      </c>
      <c r="C129" s="66">
        <f t="shared" si="3"/>
        <v>2661189</v>
      </c>
      <c r="D129" s="105">
        <f t="shared" si="4"/>
        <v>0</v>
      </c>
      <c r="E129" s="105">
        <v>0</v>
      </c>
      <c r="F129" s="105">
        <v>0</v>
      </c>
      <c r="G129" s="105">
        <v>0</v>
      </c>
      <c r="H129" s="105">
        <v>0</v>
      </c>
      <c r="I129" s="105">
        <v>0</v>
      </c>
      <c r="J129" s="105">
        <v>0</v>
      </c>
      <c r="K129" s="106">
        <v>0</v>
      </c>
      <c r="L129" s="105">
        <v>0</v>
      </c>
      <c r="M129" s="106">
        <v>1338.7</v>
      </c>
      <c r="N129" s="105">
        <v>2661189</v>
      </c>
      <c r="O129" s="106">
        <v>0</v>
      </c>
      <c r="P129" s="105">
        <v>0</v>
      </c>
      <c r="Q129" s="107">
        <v>0</v>
      </c>
      <c r="R129" s="105">
        <v>0</v>
      </c>
      <c r="S129" s="106">
        <v>0</v>
      </c>
      <c r="T129" s="105">
        <v>0</v>
      </c>
      <c r="U129" s="105"/>
      <c r="V129" s="105"/>
      <c r="W129" s="105"/>
      <c r="X129" s="110"/>
    </row>
    <row r="130" spans="1:24" s="22" customFormat="1" ht="15" customHeight="1" x14ac:dyDescent="0.25">
      <c r="A130" s="104">
        <v>123</v>
      </c>
      <c r="B130" s="64" t="s">
        <v>104</v>
      </c>
      <c r="C130" s="66">
        <f t="shared" si="3"/>
        <v>1219267.47</v>
      </c>
      <c r="D130" s="105">
        <f t="shared" si="4"/>
        <v>0</v>
      </c>
      <c r="E130" s="105">
        <v>0</v>
      </c>
      <c r="F130" s="105">
        <v>0</v>
      </c>
      <c r="G130" s="105">
        <v>0</v>
      </c>
      <c r="H130" s="105">
        <v>0</v>
      </c>
      <c r="I130" s="105">
        <v>0</v>
      </c>
      <c r="J130" s="105">
        <v>0</v>
      </c>
      <c r="K130" s="106">
        <v>0</v>
      </c>
      <c r="L130" s="105">
        <v>0</v>
      </c>
      <c r="M130" s="106">
        <v>431.5</v>
      </c>
      <c r="N130" s="66">
        <v>1219267.47</v>
      </c>
      <c r="O130" s="106">
        <v>0</v>
      </c>
      <c r="P130" s="105">
        <v>0</v>
      </c>
      <c r="Q130" s="107">
        <v>0</v>
      </c>
      <c r="R130" s="105">
        <v>0</v>
      </c>
      <c r="S130" s="106">
        <v>0</v>
      </c>
      <c r="T130" s="105">
        <v>0</v>
      </c>
      <c r="U130" s="105"/>
      <c r="V130" s="105"/>
      <c r="W130" s="105"/>
      <c r="X130" s="110"/>
    </row>
    <row r="131" spans="1:24" s="22" customFormat="1" ht="15" customHeight="1" x14ac:dyDescent="0.25">
      <c r="A131" s="104">
        <v>124</v>
      </c>
      <c r="B131" s="64" t="s">
        <v>181</v>
      </c>
      <c r="C131" s="66">
        <f t="shared" si="3"/>
        <v>1136666</v>
      </c>
      <c r="D131" s="105">
        <f t="shared" si="4"/>
        <v>0</v>
      </c>
      <c r="E131" s="105">
        <v>0</v>
      </c>
      <c r="F131" s="105">
        <v>0</v>
      </c>
      <c r="G131" s="105">
        <v>0</v>
      </c>
      <c r="H131" s="105">
        <v>0</v>
      </c>
      <c r="I131" s="105">
        <v>0</v>
      </c>
      <c r="J131" s="105">
        <v>0</v>
      </c>
      <c r="K131" s="106">
        <v>0</v>
      </c>
      <c r="L131" s="105">
        <v>0</v>
      </c>
      <c r="M131" s="106">
        <v>552</v>
      </c>
      <c r="N131" s="105">
        <v>1136666</v>
      </c>
      <c r="O131" s="106">
        <v>0</v>
      </c>
      <c r="P131" s="105">
        <v>0</v>
      </c>
      <c r="Q131" s="107">
        <v>0</v>
      </c>
      <c r="R131" s="105">
        <v>0</v>
      </c>
      <c r="S131" s="106">
        <v>0</v>
      </c>
      <c r="T131" s="105">
        <v>0</v>
      </c>
      <c r="U131" s="105"/>
      <c r="V131" s="105"/>
      <c r="W131" s="105"/>
      <c r="X131" s="110"/>
    </row>
    <row r="132" spans="1:24" s="22" customFormat="1" ht="15" customHeight="1" x14ac:dyDescent="0.25">
      <c r="A132" s="104">
        <v>125</v>
      </c>
      <c r="B132" s="64" t="s">
        <v>172</v>
      </c>
      <c r="C132" s="66">
        <f t="shared" si="3"/>
        <v>5619141</v>
      </c>
      <c r="D132" s="105">
        <f t="shared" si="4"/>
        <v>0</v>
      </c>
      <c r="E132" s="105">
        <v>0</v>
      </c>
      <c r="F132" s="105">
        <v>0</v>
      </c>
      <c r="G132" s="105">
        <v>0</v>
      </c>
      <c r="H132" s="105">
        <v>0</v>
      </c>
      <c r="I132" s="105">
        <v>0</v>
      </c>
      <c r="J132" s="105">
        <v>0</v>
      </c>
      <c r="K132" s="106">
        <v>3</v>
      </c>
      <c r="L132" s="105">
        <v>5619141</v>
      </c>
      <c r="M132" s="106">
        <v>0</v>
      </c>
      <c r="N132" s="105">
        <v>0</v>
      </c>
      <c r="O132" s="106">
        <v>0</v>
      </c>
      <c r="P132" s="105">
        <v>0</v>
      </c>
      <c r="Q132" s="107">
        <v>0</v>
      </c>
      <c r="R132" s="105">
        <v>0</v>
      </c>
      <c r="S132" s="106">
        <v>0</v>
      </c>
      <c r="T132" s="105">
        <v>0</v>
      </c>
      <c r="U132" s="105"/>
      <c r="V132" s="105"/>
      <c r="W132" s="105"/>
      <c r="X132" s="110"/>
    </row>
    <row r="133" spans="1:24" s="22" customFormat="1" ht="15" customHeight="1" x14ac:dyDescent="0.25">
      <c r="A133" s="104">
        <v>126</v>
      </c>
      <c r="B133" s="64" t="s">
        <v>170</v>
      </c>
      <c r="C133" s="66">
        <f t="shared" si="3"/>
        <v>2588344</v>
      </c>
      <c r="D133" s="105">
        <f t="shared" si="4"/>
        <v>2588344</v>
      </c>
      <c r="E133" s="105">
        <v>0</v>
      </c>
      <c r="F133" s="105">
        <v>0</v>
      </c>
      <c r="G133" s="105">
        <v>0</v>
      </c>
      <c r="H133" s="105">
        <v>2588344</v>
      </c>
      <c r="I133" s="105">
        <v>0</v>
      </c>
      <c r="J133" s="105">
        <v>0</v>
      </c>
      <c r="K133" s="106">
        <v>0</v>
      </c>
      <c r="L133" s="105">
        <v>0</v>
      </c>
      <c r="M133" s="106">
        <v>0</v>
      </c>
      <c r="N133" s="105">
        <v>0</v>
      </c>
      <c r="O133" s="106">
        <v>0</v>
      </c>
      <c r="P133" s="105">
        <v>0</v>
      </c>
      <c r="Q133" s="107">
        <v>0</v>
      </c>
      <c r="R133" s="105">
        <v>0</v>
      </c>
      <c r="S133" s="106">
        <v>0</v>
      </c>
      <c r="T133" s="105">
        <v>0</v>
      </c>
      <c r="U133" s="105"/>
      <c r="V133" s="105"/>
      <c r="W133" s="105"/>
      <c r="X133" s="110"/>
    </row>
    <row r="134" spans="1:24" s="22" customFormat="1" ht="15" customHeight="1" x14ac:dyDescent="0.25">
      <c r="A134" s="104">
        <v>127</v>
      </c>
      <c r="B134" s="64" t="s">
        <v>105</v>
      </c>
      <c r="C134" s="66">
        <f t="shared" si="3"/>
        <v>1162075.71</v>
      </c>
      <c r="D134" s="105">
        <f t="shared" si="4"/>
        <v>0</v>
      </c>
      <c r="E134" s="105">
        <v>0</v>
      </c>
      <c r="F134" s="105">
        <v>0</v>
      </c>
      <c r="G134" s="105">
        <v>0</v>
      </c>
      <c r="H134" s="105">
        <v>0</v>
      </c>
      <c r="I134" s="105">
        <v>0</v>
      </c>
      <c r="J134" s="105">
        <v>0</v>
      </c>
      <c r="K134" s="106">
        <v>0</v>
      </c>
      <c r="L134" s="105">
        <v>0</v>
      </c>
      <c r="M134" s="106">
        <v>513.79999999999995</v>
      </c>
      <c r="N134" s="66">
        <v>1162075.71</v>
      </c>
      <c r="O134" s="106">
        <v>0</v>
      </c>
      <c r="P134" s="105">
        <v>0</v>
      </c>
      <c r="Q134" s="107">
        <v>0</v>
      </c>
      <c r="R134" s="105">
        <v>0</v>
      </c>
      <c r="S134" s="106">
        <v>0</v>
      </c>
      <c r="T134" s="105">
        <v>0</v>
      </c>
      <c r="U134" s="105"/>
      <c r="V134" s="105"/>
      <c r="W134" s="105"/>
      <c r="X134" s="110"/>
    </row>
    <row r="135" spans="1:24" s="22" customFormat="1" ht="15" customHeight="1" x14ac:dyDescent="0.25">
      <c r="A135" s="104">
        <v>128</v>
      </c>
      <c r="B135" s="64" t="s">
        <v>110</v>
      </c>
      <c r="C135" s="66">
        <f t="shared" si="3"/>
        <v>4015999</v>
      </c>
      <c r="D135" s="105">
        <f t="shared" si="4"/>
        <v>4015999</v>
      </c>
      <c r="E135" s="105">
        <v>0</v>
      </c>
      <c r="F135" s="105">
        <v>0</v>
      </c>
      <c r="G135" s="66">
        <v>4015999</v>
      </c>
      <c r="H135" s="105">
        <v>0</v>
      </c>
      <c r="I135" s="105">
        <v>0</v>
      </c>
      <c r="J135" s="105">
        <v>0</v>
      </c>
      <c r="K135" s="106">
        <v>0</v>
      </c>
      <c r="L135" s="105">
        <v>0</v>
      </c>
      <c r="M135" s="106">
        <v>0</v>
      </c>
      <c r="N135" s="105">
        <v>0</v>
      </c>
      <c r="O135" s="106">
        <v>0</v>
      </c>
      <c r="P135" s="105">
        <v>0</v>
      </c>
      <c r="Q135" s="107">
        <v>0</v>
      </c>
      <c r="R135" s="105">
        <v>0</v>
      </c>
      <c r="S135" s="106">
        <v>0</v>
      </c>
      <c r="T135" s="105">
        <v>0</v>
      </c>
      <c r="U135" s="105"/>
      <c r="V135" s="105"/>
      <c r="W135" s="105"/>
      <c r="X135" s="110"/>
    </row>
    <row r="136" spans="1:24" s="22" customFormat="1" ht="18" customHeight="1" x14ac:dyDescent="0.25">
      <c r="A136" s="104">
        <v>129</v>
      </c>
      <c r="B136" s="64" t="s">
        <v>126</v>
      </c>
      <c r="C136" s="66">
        <f t="shared" si="3"/>
        <v>1421187</v>
      </c>
      <c r="D136" s="105">
        <f t="shared" si="4"/>
        <v>0</v>
      </c>
      <c r="E136" s="105">
        <v>0</v>
      </c>
      <c r="F136" s="105">
        <v>0</v>
      </c>
      <c r="G136" s="105">
        <v>0</v>
      </c>
      <c r="H136" s="105">
        <v>0</v>
      </c>
      <c r="I136" s="105">
        <v>0</v>
      </c>
      <c r="J136" s="105">
        <v>0</v>
      </c>
      <c r="K136" s="106">
        <v>0</v>
      </c>
      <c r="L136" s="105">
        <v>0</v>
      </c>
      <c r="M136" s="106">
        <v>687</v>
      </c>
      <c r="N136" s="66">
        <v>1421187</v>
      </c>
      <c r="O136" s="106">
        <v>0</v>
      </c>
      <c r="P136" s="105">
        <v>0</v>
      </c>
      <c r="Q136" s="107">
        <v>0</v>
      </c>
      <c r="R136" s="105">
        <v>0</v>
      </c>
      <c r="S136" s="106">
        <v>0</v>
      </c>
      <c r="T136" s="105">
        <v>0</v>
      </c>
      <c r="U136" s="105"/>
      <c r="V136" s="105"/>
      <c r="W136" s="105"/>
      <c r="X136" s="110"/>
    </row>
    <row r="137" spans="1:24" s="114" customFormat="1" ht="14.25" customHeight="1" x14ac:dyDescent="0.25">
      <c r="A137" s="104">
        <v>130</v>
      </c>
      <c r="B137" s="64" t="s">
        <v>88</v>
      </c>
      <c r="C137" s="66">
        <f t="shared" ref="C137:C175" si="5">D137+L137+N137+P137+R137+T137</f>
        <v>2738244.31</v>
      </c>
      <c r="D137" s="105">
        <f t="shared" ref="D137:D175" si="6">SUM(E137:J137)</f>
        <v>1478520.9100000001</v>
      </c>
      <c r="E137" s="105">
        <v>0</v>
      </c>
      <c r="F137" s="105">
        <v>805799.31</v>
      </c>
      <c r="G137" s="105">
        <v>268246.57</v>
      </c>
      <c r="H137" s="105">
        <v>231362.07</v>
      </c>
      <c r="I137" s="105">
        <v>173112.95999999999</v>
      </c>
      <c r="J137" s="105">
        <v>0</v>
      </c>
      <c r="K137" s="106">
        <v>0</v>
      </c>
      <c r="L137" s="105">
        <v>0</v>
      </c>
      <c r="M137" s="106">
        <v>526.79999999999995</v>
      </c>
      <c r="N137" s="105">
        <v>1259723.3999999999</v>
      </c>
      <c r="O137" s="106">
        <v>0</v>
      </c>
      <c r="P137" s="105">
        <v>0</v>
      </c>
      <c r="Q137" s="107">
        <v>0</v>
      </c>
      <c r="R137" s="105">
        <v>0</v>
      </c>
      <c r="S137" s="106">
        <v>0</v>
      </c>
      <c r="T137" s="105">
        <v>0</v>
      </c>
      <c r="U137" s="108"/>
      <c r="V137" s="108"/>
      <c r="W137" s="108"/>
      <c r="X137" s="109"/>
    </row>
    <row r="138" spans="1:24" s="22" customFormat="1" ht="15" customHeight="1" x14ac:dyDescent="0.25">
      <c r="A138" s="104">
        <v>131</v>
      </c>
      <c r="B138" s="64" t="s">
        <v>66</v>
      </c>
      <c r="C138" s="66">
        <f t="shared" si="5"/>
        <v>2056315</v>
      </c>
      <c r="D138" s="105">
        <f t="shared" si="6"/>
        <v>0</v>
      </c>
      <c r="E138" s="105">
        <v>0</v>
      </c>
      <c r="F138" s="105">
        <v>0</v>
      </c>
      <c r="G138" s="105">
        <v>0</v>
      </c>
      <c r="H138" s="105">
        <v>0</v>
      </c>
      <c r="I138" s="105">
        <v>0</v>
      </c>
      <c r="J138" s="105">
        <v>0</v>
      </c>
      <c r="K138" s="106">
        <v>0</v>
      </c>
      <c r="L138" s="105">
        <v>0</v>
      </c>
      <c r="M138" s="106">
        <v>978</v>
      </c>
      <c r="N138" s="105">
        <v>2056315</v>
      </c>
      <c r="O138" s="106">
        <v>0</v>
      </c>
      <c r="P138" s="105">
        <v>0</v>
      </c>
      <c r="Q138" s="107">
        <v>0</v>
      </c>
      <c r="R138" s="105">
        <v>0</v>
      </c>
      <c r="S138" s="106">
        <v>0</v>
      </c>
      <c r="T138" s="105">
        <v>0</v>
      </c>
      <c r="U138" s="105" t="e">
        <f>#REF!*0.08</f>
        <v>#REF!</v>
      </c>
      <c r="V138" s="105" t="e">
        <f>#REF!*0.0214</f>
        <v>#REF!</v>
      </c>
      <c r="W138" s="105" t="e">
        <f>#REF!+U138+V138</f>
        <v>#REF!</v>
      </c>
      <c r="X138" s="110"/>
    </row>
    <row r="139" spans="1:24" s="22" customFormat="1" ht="15" customHeight="1" x14ac:dyDescent="0.25">
      <c r="A139" s="104">
        <v>132</v>
      </c>
      <c r="B139" s="64" t="s">
        <v>60</v>
      </c>
      <c r="C139" s="66">
        <f t="shared" si="5"/>
        <v>2244806</v>
      </c>
      <c r="D139" s="105">
        <f t="shared" si="6"/>
        <v>0</v>
      </c>
      <c r="E139" s="105">
        <v>0</v>
      </c>
      <c r="F139" s="105">
        <v>0</v>
      </c>
      <c r="G139" s="105">
        <v>0</v>
      </c>
      <c r="H139" s="105">
        <v>0</v>
      </c>
      <c r="I139" s="105">
        <v>0</v>
      </c>
      <c r="J139" s="105">
        <v>0</v>
      </c>
      <c r="K139" s="106">
        <v>0</v>
      </c>
      <c r="L139" s="105">
        <v>0</v>
      </c>
      <c r="M139" s="107">
        <v>1120</v>
      </c>
      <c r="N139" s="105">
        <v>2244806</v>
      </c>
      <c r="O139" s="106">
        <v>0</v>
      </c>
      <c r="P139" s="105">
        <v>0</v>
      </c>
      <c r="Q139" s="107">
        <v>0</v>
      </c>
      <c r="R139" s="105">
        <v>0</v>
      </c>
      <c r="S139" s="106">
        <v>0</v>
      </c>
      <c r="T139" s="105">
        <v>0</v>
      </c>
      <c r="U139" s="105" t="e">
        <f>#REF!*0.08</f>
        <v>#REF!</v>
      </c>
      <c r="V139" s="105" t="e">
        <f>#REF!*0.0214</f>
        <v>#REF!</v>
      </c>
      <c r="W139" s="105" t="e">
        <f>#REF!+U139+V139</f>
        <v>#REF!</v>
      </c>
      <c r="X139" s="110"/>
    </row>
    <row r="140" spans="1:24" s="22" customFormat="1" ht="15" customHeight="1" x14ac:dyDescent="0.25">
      <c r="A140" s="104">
        <v>133</v>
      </c>
      <c r="B140" s="64" t="s">
        <v>92</v>
      </c>
      <c r="C140" s="66">
        <f t="shared" si="5"/>
        <v>1561539</v>
      </c>
      <c r="D140" s="105">
        <f t="shared" si="6"/>
        <v>0</v>
      </c>
      <c r="E140" s="105">
        <v>0</v>
      </c>
      <c r="F140" s="105">
        <v>0</v>
      </c>
      <c r="G140" s="105">
        <v>0</v>
      </c>
      <c r="H140" s="105">
        <v>0</v>
      </c>
      <c r="I140" s="105">
        <v>0</v>
      </c>
      <c r="J140" s="105">
        <v>0</v>
      </c>
      <c r="K140" s="106">
        <v>0</v>
      </c>
      <c r="L140" s="105">
        <v>0</v>
      </c>
      <c r="M140" s="106">
        <v>787.85</v>
      </c>
      <c r="N140" s="105">
        <v>1561539</v>
      </c>
      <c r="O140" s="107">
        <v>0</v>
      </c>
      <c r="P140" s="105">
        <v>0</v>
      </c>
      <c r="Q140" s="107">
        <v>0</v>
      </c>
      <c r="R140" s="105">
        <v>0</v>
      </c>
      <c r="S140" s="106">
        <v>0</v>
      </c>
      <c r="T140" s="105">
        <v>0</v>
      </c>
      <c r="U140" s="108"/>
      <c r="V140" s="108"/>
      <c r="W140" s="108"/>
      <c r="X140" s="109"/>
    </row>
    <row r="141" spans="1:24" s="22" customFormat="1" ht="15" customHeight="1" x14ac:dyDescent="0.25">
      <c r="A141" s="104">
        <v>134</v>
      </c>
      <c r="B141" s="64" t="s">
        <v>251</v>
      </c>
      <c r="C141" s="66">
        <f t="shared" si="5"/>
        <v>5982216</v>
      </c>
      <c r="D141" s="105">
        <f t="shared" si="6"/>
        <v>0</v>
      </c>
      <c r="E141" s="105">
        <v>0</v>
      </c>
      <c r="F141" s="105">
        <v>0</v>
      </c>
      <c r="G141" s="105">
        <v>0</v>
      </c>
      <c r="H141" s="105">
        <v>0</v>
      </c>
      <c r="I141" s="105">
        <v>0</v>
      </c>
      <c r="J141" s="105">
        <v>0</v>
      </c>
      <c r="K141" s="106">
        <v>0</v>
      </c>
      <c r="L141" s="105">
        <v>0</v>
      </c>
      <c r="M141" s="106">
        <v>0</v>
      </c>
      <c r="N141" s="105">
        <v>0</v>
      </c>
      <c r="O141" s="106">
        <v>0</v>
      </c>
      <c r="P141" s="105">
        <v>0</v>
      </c>
      <c r="Q141" s="107">
        <v>4158.84</v>
      </c>
      <c r="R141" s="105">
        <v>5982216</v>
      </c>
      <c r="S141" s="106">
        <v>0</v>
      </c>
      <c r="T141" s="105">
        <v>0</v>
      </c>
      <c r="U141" s="105"/>
      <c r="V141" s="105"/>
      <c r="W141" s="105"/>
      <c r="X141" s="110"/>
    </row>
    <row r="142" spans="1:24" s="22" customFormat="1" ht="15" customHeight="1" x14ac:dyDescent="0.25">
      <c r="A142" s="104">
        <v>135</v>
      </c>
      <c r="B142" s="64" t="s">
        <v>132</v>
      </c>
      <c r="C142" s="66">
        <f t="shared" si="5"/>
        <v>642210</v>
      </c>
      <c r="D142" s="105">
        <f t="shared" si="6"/>
        <v>0</v>
      </c>
      <c r="E142" s="105">
        <v>0</v>
      </c>
      <c r="F142" s="105">
        <v>0</v>
      </c>
      <c r="G142" s="105">
        <v>0</v>
      </c>
      <c r="H142" s="105">
        <v>0</v>
      </c>
      <c r="I142" s="105">
        <v>0</v>
      </c>
      <c r="J142" s="105">
        <v>0</v>
      </c>
      <c r="K142" s="106">
        <v>0</v>
      </c>
      <c r="L142" s="105">
        <v>0</v>
      </c>
      <c r="M142" s="106">
        <v>0</v>
      </c>
      <c r="N142" s="105">
        <v>0</v>
      </c>
      <c r="O142" s="106">
        <v>0</v>
      </c>
      <c r="P142" s="105">
        <v>0</v>
      </c>
      <c r="Q142" s="106">
        <v>440</v>
      </c>
      <c r="R142" s="105">
        <v>642210</v>
      </c>
      <c r="S142" s="106">
        <v>0</v>
      </c>
      <c r="T142" s="105">
        <v>0</v>
      </c>
      <c r="U142" s="105"/>
      <c r="V142" s="105"/>
      <c r="W142" s="105"/>
      <c r="X142" s="110"/>
    </row>
    <row r="143" spans="1:24" s="22" customFormat="1" ht="15" customHeight="1" x14ac:dyDescent="0.25">
      <c r="A143" s="104">
        <v>136</v>
      </c>
      <c r="B143" s="64" t="s">
        <v>182</v>
      </c>
      <c r="C143" s="66">
        <f t="shared" si="5"/>
        <v>996585</v>
      </c>
      <c r="D143" s="105">
        <f t="shared" si="6"/>
        <v>0</v>
      </c>
      <c r="E143" s="105">
        <v>0</v>
      </c>
      <c r="F143" s="105">
        <v>0</v>
      </c>
      <c r="G143" s="105">
        <v>0</v>
      </c>
      <c r="H143" s="105">
        <v>0</v>
      </c>
      <c r="I143" s="105">
        <v>0</v>
      </c>
      <c r="J143" s="105">
        <v>0</v>
      </c>
      <c r="K143" s="106">
        <v>0</v>
      </c>
      <c r="L143" s="105">
        <v>0</v>
      </c>
      <c r="M143" s="106">
        <v>496.2</v>
      </c>
      <c r="N143" s="105">
        <v>996585</v>
      </c>
      <c r="O143" s="106">
        <v>0</v>
      </c>
      <c r="P143" s="105">
        <v>0</v>
      </c>
      <c r="Q143" s="106">
        <v>0</v>
      </c>
      <c r="R143" s="105">
        <v>0</v>
      </c>
      <c r="S143" s="106">
        <v>0</v>
      </c>
      <c r="T143" s="105">
        <v>0</v>
      </c>
      <c r="U143" s="105"/>
      <c r="V143" s="105"/>
      <c r="W143" s="105"/>
      <c r="X143" s="110"/>
    </row>
    <row r="144" spans="1:24" s="22" customFormat="1" ht="15" customHeight="1" x14ac:dyDescent="0.25">
      <c r="A144" s="104">
        <v>137</v>
      </c>
      <c r="B144" s="64" t="s">
        <v>81</v>
      </c>
      <c r="C144" s="66">
        <f t="shared" si="5"/>
        <v>1116228</v>
      </c>
      <c r="D144" s="105">
        <f t="shared" si="6"/>
        <v>0</v>
      </c>
      <c r="E144" s="105">
        <v>0</v>
      </c>
      <c r="F144" s="105">
        <v>0</v>
      </c>
      <c r="G144" s="105">
        <v>0</v>
      </c>
      <c r="H144" s="105">
        <v>0</v>
      </c>
      <c r="I144" s="105">
        <v>0</v>
      </c>
      <c r="J144" s="105">
        <v>0</v>
      </c>
      <c r="K144" s="106">
        <v>0</v>
      </c>
      <c r="L144" s="105">
        <v>0</v>
      </c>
      <c r="M144" s="106">
        <v>734</v>
      </c>
      <c r="N144" s="105">
        <v>1116228</v>
      </c>
      <c r="O144" s="106">
        <v>0</v>
      </c>
      <c r="P144" s="105">
        <v>0</v>
      </c>
      <c r="Q144" s="107">
        <v>0</v>
      </c>
      <c r="R144" s="105">
        <v>0</v>
      </c>
      <c r="S144" s="106">
        <v>0</v>
      </c>
      <c r="T144" s="105">
        <v>0</v>
      </c>
      <c r="U144" s="108"/>
      <c r="V144" s="108"/>
      <c r="W144" s="108"/>
      <c r="X144" s="109"/>
    </row>
    <row r="145" spans="1:24" s="22" customFormat="1" ht="15" customHeight="1" x14ac:dyDescent="0.25">
      <c r="A145" s="104">
        <v>138</v>
      </c>
      <c r="B145" s="64" t="s">
        <v>198</v>
      </c>
      <c r="C145" s="66">
        <f t="shared" si="5"/>
        <v>3719885</v>
      </c>
      <c r="D145" s="105">
        <f t="shared" si="6"/>
        <v>0</v>
      </c>
      <c r="E145" s="105">
        <v>0</v>
      </c>
      <c r="F145" s="105">
        <v>0</v>
      </c>
      <c r="G145" s="105">
        <v>0</v>
      </c>
      <c r="H145" s="105">
        <v>0</v>
      </c>
      <c r="I145" s="105">
        <v>0</v>
      </c>
      <c r="J145" s="105">
        <v>0</v>
      </c>
      <c r="K145" s="106">
        <v>2</v>
      </c>
      <c r="L145" s="105">
        <v>3719885</v>
      </c>
      <c r="M145" s="106">
        <v>0</v>
      </c>
      <c r="N145" s="105">
        <v>0</v>
      </c>
      <c r="O145" s="106">
        <v>0</v>
      </c>
      <c r="P145" s="105">
        <v>0</v>
      </c>
      <c r="Q145" s="106">
        <v>0</v>
      </c>
      <c r="R145" s="105">
        <v>0</v>
      </c>
      <c r="S145" s="106">
        <v>0</v>
      </c>
      <c r="T145" s="105">
        <v>0</v>
      </c>
      <c r="U145" s="105"/>
      <c r="V145" s="105"/>
      <c r="W145" s="105"/>
      <c r="X145" s="110"/>
    </row>
    <row r="146" spans="1:24" s="22" customFormat="1" ht="15" customHeight="1" x14ac:dyDescent="0.25">
      <c r="A146" s="104">
        <v>139</v>
      </c>
      <c r="B146" s="64" t="s">
        <v>56</v>
      </c>
      <c r="C146" s="66">
        <f t="shared" si="5"/>
        <v>3202371</v>
      </c>
      <c r="D146" s="105">
        <f t="shared" si="6"/>
        <v>0</v>
      </c>
      <c r="E146" s="105">
        <v>0</v>
      </c>
      <c r="F146" s="105">
        <v>0</v>
      </c>
      <c r="G146" s="105">
        <v>0</v>
      </c>
      <c r="H146" s="105">
        <v>0</v>
      </c>
      <c r="I146" s="105">
        <v>0</v>
      </c>
      <c r="J146" s="105">
        <v>0</v>
      </c>
      <c r="K146" s="106">
        <v>0</v>
      </c>
      <c r="L146" s="105">
        <v>0</v>
      </c>
      <c r="M146" s="106">
        <v>0</v>
      </c>
      <c r="N146" s="105">
        <v>0</v>
      </c>
      <c r="O146" s="106">
        <v>0</v>
      </c>
      <c r="P146" s="105">
        <v>0</v>
      </c>
      <c r="Q146" s="106">
        <v>2220.83</v>
      </c>
      <c r="R146" s="105">
        <v>3202371</v>
      </c>
      <c r="S146" s="106">
        <v>0</v>
      </c>
      <c r="T146" s="105">
        <v>0</v>
      </c>
      <c r="U146" s="105" t="e">
        <f>#REF!*0.08</f>
        <v>#REF!</v>
      </c>
      <c r="V146" s="105" t="e">
        <f>#REF!*0.0214</f>
        <v>#REF!</v>
      </c>
      <c r="W146" s="105" t="e">
        <f>#REF!+U146+V146</f>
        <v>#REF!</v>
      </c>
      <c r="X146" s="110"/>
    </row>
    <row r="147" spans="1:24" s="22" customFormat="1" ht="15" customHeight="1" x14ac:dyDescent="0.25">
      <c r="A147" s="104">
        <v>140</v>
      </c>
      <c r="B147" s="64" t="s">
        <v>165</v>
      </c>
      <c r="C147" s="66">
        <f t="shared" si="5"/>
        <v>640078</v>
      </c>
      <c r="D147" s="105">
        <f t="shared" si="6"/>
        <v>640078</v>
      </c>
      <c r="E147" s="105">
        <v>0</v>
      </c>
      <c r="F147" s="105">
        <v>640078</v>
      </c>
      <c r="G147" s="105">
        <v>0</v>
      </c>
      <c r="H147" s="105">
        <v>0</v>
      </c>
      <c r="I147" s="105">
        <v>0</v>
      </c>
      <c r="J147" s="105">
        <v>0</v>
      </c>
      <c r="K147" s="106">
        <v>0</v>
      </c>
      <c r="L147" s="105">
        <v>0</v>
      </c>
      <c r="M147" s="106">
        <v>0</v>
      </c>
      <c r="N147" s="105">
        <v>0</v>
      </c>
      <c r="O147" s="106">
        <v>0</v>
      </c>
      <c r="P147" s="105">
        <v>0</v>
      </c>
      <c r="Q147" s="106">
        <v>0</v>
      </c>
      <c r="R147" s="105">
        <v>0</v>
      </c>
      <c r="S147" s="106">
        <v>0</v>
      </c>
      <c r="T147" s="105">
        <v>0</v>
      </c>
      <c r="U147" s="105"/>
      <c r="V147" s="105"/>
      <c r="W147" s="105"/>
      <c r="X147" s="110"/>
    </row>
    <row r="148" spans="1:24" s="22" customFormat="1" ht="15" customHeight="1" x14ac:dyDescent="0.25">
      <c r="A148" s="104">
        <v>141</v>
      </c>
      <c r="B148" s="64" t="s">
        <v>100</v>
      </c>
      <c r="C148" s="66">
        <f t="shared" si="5"/>
        <v>1044081.04</v>
      </c>
      <c r="D148" s="105">
        <f t="shared" si="6"/>
        <v>0</v>
      </c>
      <c r="E148" s="105">
        <v>0</v>
      </c>
      <c r="F148" s="105">
        <v>0</v>
      </c>
      <c r="G148" s="105">
        <v>0</v>
      </c>
      <c r="H148" s="105">
        <v>0</v>
      </c>
      <c r="I148" s="105">
        <v>0</v>
      </c>
      <c r="J148" s="105">
        <v>0</v>
      </c>
      <c r="K148" s="106">
        <v>0</v>
      </c>
      <c r="L148" s="105">
        <v>0</v>
      </c>
      <c r="M148" s="106">
        <v>516.5</v>
      </c>
      <c r="N148" s="105">
        <v>1044081.04</v>
      </c>
      <c r="O148" s="106">
        <v>0</v>
      </c>
      <c r="P148" s="105">
        <v>0</v>
      </c>
      <c r="Q148" s="107">
        <v>0</v>
      </c>
      <c r="R148" s="105">
        <v>0</v>
      </c>
      <c r="S148" s="106">
        <v>0</v>
      </c>
      <c r="T148" s="105">
        <v>0</v>
      </c>
      <c r="U148" s="108"/>
      <c r="V148" s="108"/>
      <c r="W148" s="108"/>
      <c r="X148" s="109"/>
    </row>
    <row r="149" spans="1:24" s="22" customFormat="1" ht="15" customHeight="1" x14ac:dyDescent="0.25">
      <c r="A149" s="104">
        <v>142</v>
      </c>
      <c r="B149" s="64" t="s">
        <v>94</v>
      </c>
      <c r="C149" s="66">
        <f t="shared" si="5"/>
        <v>5623853</v>
      </c>
      <c r="D149" s="105">
        <f t="shared" si="6"/>
        <v>0</v>
      </c>
      <c r="E149" s="105">
        <v>0</v>
      </c>
      <c r="F149" s="105">
        <v>0</v>
      </c>
      <c r="G149" s="105">
        <v>0</v>
      </c>
      <c r="H149" s="105">
        <v>0</v>
      </c>
      <c r="I149" s="105">
        <v>0</v>
      </c>
      <c r="J149" s="105">
        <v>0</v>
      </c>
      <c r="K149" s="106">
        <v>3</v>
      </c>
      <c r="L149" s="111">
        <v>5623853</v>
      </c>
      <c r="M149" s="106">
        <v>0</v>
      </c>
      <c r="N149" s="105">
        <v>0</v>
      </c>
      <c r="O149" s="106">
        <v>0</v>
      </c>
      <c r="P149" s="105">
        <v>0</v>
      </c>
      <c r="Q149" s="107">
        <v>0</v>
      </c>
      <c r="R149" s="105">
        <v>0</v>
      </c>
      <c r="S149" s="106">
        <v>0</v>
      </c>
      <c r="T149" s="105">
        <v>0</v>
      </c>
      <c r="U149" s="108"/>
      <c r="V149" s="108"/>
      <c r="W149" s="108"/>
      <c r="X149" s="109"/>
    </row>
    <row r="150" spans="1:24" s="22" customFormat="1" ht="15" customHeight="1" x14ac:dyDescent="0.25">
      <c r="A150" s="104">
        <v>143</v>
      </c>
      <c r="B150" s="64" t="s">
        <v>193</v>
      </c>
      <c r="C150" s="66">
        <f t="shared" si="5"/>
        <v>1870910</v>
      </c>
      <c r="D150" s="105">
        <f t="shared" si="6"/>
        <v>0</v>
      </c>
      <c r="E150" s="105">
        <v>0</v>
      </c>
      <c r="F150" s="105">
        <v>0</v>
      </c>
      <c r="G150" s="105">
        <v>0</v>
      </c>
      <c r="H150" s="105">
        <v>0</v>
      </c>
      <c r="I150" s="105">
        <v>0</v>
      </c>
      <c r="J150" s="105">
        <v>0</v>
      </c>
      <c r="K150" s="106">
        <v>0</v>
      </c>
      <c r="L150" s="105">
        <v>0</v>
      </c>
      <c r="M150" s="106">
        <v>946.3</v>
      </c>
      <c r="N150" s="105">
        <v>1870910</v>
      </c>
      <c r="O150" s="106">
        <v>0</v>
      </c>
      <c r="P150" s="105">
        <v>0</v>
      </c>
      <c r="Q150" s="106">
        <v>0</v>
      </c>
      <c r="R150" s="105">
        <v>0</v>
      </c>
      <c r="S150" s="106">
        <v>0</v>
      </c>
      <c r="T150" s="105">
        <v>0</v>
      </c>
      <c r="U150" s="105"/>
      <c r="V150" s="105"/>
      <c r="W150" s="105"/>
      <c r="X150" s="110"/>
    </row>
    <row r="151" spans="1:24" s="22" customFormat="1" ht="15" customHeight="1" x14ac:dyDescent="0.25">
      <c r="A151" s="104">
        <v>144</v>
      </c>
      <c r="B151" s="64" t="s">
        <v>167</v>
      </c>
      <c r="C151" s="66">
        <f t="shared" si="5"/>
        <v>4265098</v>
      </c>
      <c r="D151" s="105">
        <f t="shared" si="6"/>
        <v>0</v>
      </c>
      <c r="E151" s="105">
        <v>0</v>
      </c>
      <c r="F151" s="105">
        <v>0</v>
      </c>
      <c r="G151" s="105">
        <v>0</v>
      </c>
      <c r="H151" s="105">
        <v>0</v>
      </c>
      <c r="I151" s="105">
        <v>0</v>
      </c>
      <c r="J151" s="105">
        <v>0</v>
      </c>
      <c r="K151" s="106">
        <v>0</v>
      </c>
      <c r="L151" s="105">
        <v>0</v>
      </c>
      <c r="M151" s="106">
        <v>0</v>
      </c>
      <c r="N151" s="105">
        <v>0</v>
      </c>
      <c r="O151" s="106">
        <v>0</v>
      </c>
      <c r="P151" s="105">
        <v>0</v>
      </c>
      <c r="Q151" s="106">
        <v>2927.5</v>
      </c>
      <c r="R151" s="105">
        <v>4265098</v>
      </c>
      <c r="S151" s="106">
        <v>0</v>
      </c>
      <c r="T151" s="105">
        <v>0</v>
      </c>
      <c r="U151" s="105"/>
      <c r="V151" s="105"/>
      <c r="W151" s="105"/>
      <c r="X151" s="110"/>
    </row>
    <row r="152" spans="1:24" s="22" customFormat="1" ht="15" customHeight="1" x14ac:dyDescent="0.25">
      <c r="A152" s="104">
        <v>145</v>
      </c>
      <c r="B152" s="64" t="s">
        <v>185</v>
      </c>
      <c r="C152" s="66">
        <f t="shared" si="5"/>
        <v>2784233</v>
      </c>
      <c r="D152" s="105">
        <f t="shared" si="6"/>
        <v>0</v>
      </c>
      <c r="E152" s="105">
        <v>0</v>
      </c>
      <c r="F152" s="105">
        <v>0</v>
      </c>
      <c r="G152" s="105">
        <v>0</v>
      </c>
      <c r="H152" s="105">
        <v>0</v>
      </c>
      <c r="I152" s="105">
        <v>0</v>
      </c>
      <c r="J152" s="105">
        <v>0</v>
      </c>
      <c r="K152" s="106">
        <v>0</v>
      </c>
      <c r="L152" s="105">
        <v>0</v>
      </c>
      <c r="M152" s="106">
        <v>1391</v>
      </c>
      <c r="N152" s="105">
        <v>2784233</v>
      </c>
      <c r="O152" s="106">
        <v>0</v>
      </c>
      <c r="P152" s="105">
        <v>0</v>
      </c>
      <c r="Q152" s="106">
        <v>0</v>
      </c>
      <c r="R152" s="105">
        <v>0</v>
      </c>
      <c r="S152" s="106">
        <v>0</v>
      </c>
      <c r="T152" s="105">
        <v>0</v>
      </c>
      <c r="U152" s="105"/>
      <c r="V152" s="105"/>
      <c r="W152" s="105"/>
      <c r="X152" s="110"/>
    </row>
    <row r="153" spans="1:24" s="22" customFormat="1" ht="15" customHeight="1" x14ac:dyDescent="0.25">
      <c r="A153" s="104">
        <v>146</v>
      </c>
      <c r="B153" s="64" t="s">
        <v>183</v>
      </c>
      <c r="C153" s="66">
        <f t="shared" si="5"/>
        <v>1206304</v>
      </c>
      <c r="D153" s="105">
        <f t="shared" si="6"/>
        <v>0</v>
      </c>
      <c r="E153" s="105">
        <v>0</v>
      </c>
      <c r="F153" s="105">
        <v>0</v>
      </c>
      <c r="G153" s="105">
        <v>0</v>
      </c>
      <c r="H153" s="105">
        <v>0</v>
      </c>
      <c r="I153" s="105">
        <v>0</v>
      </c>
      <c r="J153" s="105">
        <v>0</v>
      </c>
      <c r="K153" s="106">
        <v>0</v>
      </c>
      <c r="L153" s="105">
        <v>0</v>
      </c>
      <c r="M153" s="106">
        <v>576</v>
      </c>
      <c r="N153" s="105">
        <v>1206304</v>
      </c>
      <c r="O153" s="106">
        <v>0</v>
      </c>
      <c r="P153" s="105">
        <v>0</v>
      </c>
      <c r="Q153" s="106">
        <v>0</v>
      </c>
      <c r="R153" s="105">
        <v>0</v>
      </c>
      <c r="S153" s="106">
        <v>0</v>
      </c>
      <c r="T153" s="105">
        <v>0</v>
      </c>
      <c r="U153" s="105"/>
      <c r="V153" s="105"/>
      <c r="W153" s="105"/>
      <c r="X153" s="110"/>
    </row>
    <row r="154" spans="1:24" s="22" customFormat="1" ht="15" customHeight="1" x14ac:dyDescent="0.25">
      <c r="A154" s="104">
        <v>147</v>
      </c>
      <c r="B154" s="64" t="s">
        <v>127</v>
      </c>
      <c r="C154" s="66">
        <f t="shared" si="5"/>
        <v>1877378</v>
      </c>
      <c r="D154" s="105">
        <f t="shared" si="6"/>
        <v>0</v>
      </c>
      <c r="E154" s="105">
        <v>0</v>
      </c>
      <c r="F154" s="105">
        <v>0</v>
      </c>
      <c r="G154" s="105">
        <v>0</v>
      </c>
      <c r="H154" s="105">
        <v>0</v>
      </c>
      <c r="I154" s="105">
        <v>0</v>
      </c>
      <c r="J154" s="105">
        <v>0</v>
      </c>
      <c r="K154" s="106">
        <v>1</v>
      </c>
      <c r="L154" s="66">
        <v>1877378</v>
      </c>
      <c r="M154" s="106">
        <v>0</v>
      </c>
      <c r="N154" s="105">
        <v>0</v>
      </c>
      <c r="O154" s="106">
        <v>0</v>
      </c>
      <c r="P154" s="105">
        <v>0</v>
      </c>
      <c r="Q154" s="106">
        <v>0</v>
      </c>
      <c r="R154" s="105">
        <v>0</v>
      </c>
      <c r="S154" s="106">
        <v>0</v>
      </c>
      <c r="T154" s="105">
        <v>0</v>
      </c>
      <c r="U154" s="105"/>
      <c r="V154" s="105"/>
      <c r="W154" s="105"/>
      <c r="X154" s="110"/>
    </row>
    <row r="155" spans="1:24" s="22" customFormat="1" ht="15" customHeight="1" x14ac:dyDescent="0.25">
      <c r="A155" s="104">
        <v>148</v>
      </c>
      <c r="B155" s="64" t="s">
        <v>175</v>
      </c>
      <c r="C155" s="66">
        <f t="shared" si="5"/>
        <v>3051089</v>
      </c>
      <c r="D155" s="105">
        <f t="shared" si="6"/>
        <v>0</v>
      </c>
      <c r="E155" s="105">
        <v>0</v>
      </c>
      <c r="F155" s="105">
        <v>0</v>
      </c>
      <c r="G155" s="105">
        <v>0</v>
      </c>
      <c r="H155" s="105">
        <v>0</v>
      </c>
      <c r="I155" s="105">
        <v>0</v>
      </c>
      <c r="J155" s="105">
        <v>0</v>
      </c>
      <c r="K155" s="106">
        <v>0</v>
      </c>
      <c r="L155" s="105">
        <v>0</v>
      </c>
      <c r="M155" s="106">
        <v>1549</v>
      </c>
      <c r="N155" s="105">
        <v>3051089</v>
      </c>
      <c r="O155" s="106">
        <v>0</v>
      </c>
      <c r="P155" s="105">
        <v>0</v>
      </c>
      <c r="Q155" s="106">
        <v>0</v>
      </c>
      <c r="R155" s="105">
        <v>0</v>
      </c>
      <c r="S155" s="106">
        <v>0</v>
      </c>
      <c r="T155" s="105">
        <v>0</v>
      </c>
      <c r="U155" s="105"/>
      <c r="V155" s="105"/>
      <c r="W155" s="105"/>
      <c r="X155" s="110"/>
    </row>
    <row r="156" spans="1:24" s="22" customFormat="1" ht="15" customHeight="1" x14ac:dyDescent="0.25">
      <c r="A156" s="104">
        <v>149</v>
      </c>
      <c r="B156" s="64" t="s">
        <v>206</v>
      </c>
      <c r="C156" s="66">
        <f t="shared" si="5"/>
        <v>9379653</v>
      </c>
      <c r="D156" s="105">
        <f t="shared" si="6"/>
        <v>0</v>
      </c>
      <c r="E156" s="105">
        <v>0</v>
      </c>
      <c r="F156" s="105">
        <v>0</v>
      </c>
      <c r="G156" s="105">
        <v>0</v>
      </c>
      <c r="H156" s="105">
        <v>0</v>
      </c>
      <c r="I156" s="105">
        <v>0</v>
      </c>
      <c r="J156" s="105">
        <v>0</v>
      </c>
      <c r="K156" s="106">
        <v>5</v>
      </c>
      <c r="L156" s="105">
        <v>9379653</v>
      </c>
      <c r="M156" s="106">
        <v>0</v>
      </c>
      <c r="N156" s="105">
        <v>0</v>
      </c>
      <c r="O156" s="106">
        <v>0</v>
      </c>
      <c r="P156" s="105">
        <v>0</v>
      </c>
      <c r="Q156" s="106">
        <v>0</v>
      </c>
      <c r="R156" s="105">
        <v>0</v>
      </c>
      <c r="S156" s="106">
        <v>0</v>
      </c>
      <c r="T156" s="105">
        <v>0</v>
      </c>
      <c r="U156" s="105"/>
      <c r="V156" s="105"/>
      <c r="W156" s="105"/>
      <c r="X156" s="110"/>
    </row>
    <row r="157" spans="1:24" s="22" customFormat="1" ht="15" customHeight="1" x14ac:dyDescent="0.25">
      <c r="A157" s="104">
        <v>150</v>
      </c>
      <c r="B157" s="64" t="s">
        <v>168</v>
      </c>
      <c r="C157" s="66">
        <f t="shared" si="5"/>
        <v>1167505</v>
      </c>
      <c r="D157" s="105">
        <f t="shared" si="6"/>
        <v>1167505</v>
      </c>
      <c r="E157" s="105">
        <v>0</v>
      </c>
      <c r="F157" s="105">
        <v>0</v>
      </c>
      <c r="G157" s="105">
        <v>1167505</v>
      </c>
      <c r="H157" s="105">
        <v>0</v>
      </c>
      <c r="I157" s="105">
        <v>0</v>
      </c>
      <c r="J157" s="105">
        <v>0</v>
      </c>
      <c r="K157" s="106">
        <v>0</v>
      </c>
      <c r="L157" s="105">
        <v>0</v>
      </c>
      <c r="M157" s="106">
        <v>0</v>
      </c>
      <c r="N157" s="105">
        <v>0</v>
      </c>
      <c r="O157" s="106">
        <v>0</v>
      </c>
      <c r="P157" s="105">
        <v>0</v>
      </c>
      <c r="Q157" s="106">
        <v>0</v>
      </c>
      <c r="R157" s="105">
        <v>0</v>
      </c>
      <c r="S157" s="106">
        <v>0</v>
      </c>
      <c r="T157" s="105">
        <v>0</v>
      </c>
      <c r="U157" s="105"/>
      <c r="V157" s="105"/>
      <c r="W157" s="105"/>
      <c r="X157" s="110"/>
    </row>
    <row r="158" spans="1:24" s="22" customFormat="1" ht="15" customHeight="1" x14ac:dyDescent="0.25">
      <c r="A158" s="104">
        <v>151</v>
      </c>
      <c r="B158" s="64" t="s">
        <v>128</v>
      </c>
      <c r="C158" s="66">
        <f t="shared" si="5"/>
        <v>1320636</v>
      </c>
      <c r="D158" s="105">
        <f t="shared" si="6"/>
        <v>0</v>
      </c>
      <c r="E158" s="105">
        <v>0</v>
      </c>
      <c r="F158" s="105">
        <v>0</v>
      </c>
      <c r="G158" s="105">
        <v>0</v>
      </c>
      <c r="H158" s="105">
        <v>0</v>
      </c>
      <c r="I158" s="105">
        <v>0</v>
      </c>
      <c r="J158" s="105">
        <v>0</v>
      </c>
      <c r="K158" s="106">
        <v>0</v>
      </c>
      <c r="L158" s="105">
        <v>0</v>
      </c>
      <c r="M158" s="139">
        <v>662</v>
      </c>
      <c r="N158" s="66">
        <v>1320636</v>
      </c>
      <c r="O158" s="106">
        <v>0</v>
      </c>
      <c r="P158" s="105">
        <v>0</v>
      </c>
      <c r="Q158" s="106">
        <v>0</v>
      </c>
      <c r="R158" s="105">
        <v>0</v>
      </c>
      <c r="S158" s="106">
        <v>0</v>
      </c>
      <c r="T158" s="105">
        <v>0</v>
      </c>
      <c r="U158" s="105"/>
      <c r="V158" s="105"/>
      <c r="W158" s="105"/>
      <c r="X158" s="110"/>
    </row>
    <row r="159" spans="1:24" s="22" customFormat="1" ht="15" customHeight="1" x14ac:dyDescent="0.25">
      <c r="A159" s="104">
        <v>152</v>
      </c>
      <c r="B159" s="64" t="s">
        <v>158</v>
      </c>
      <c r="C159" s="66">
        <f t="shared" si="5"/>
        <v>5413964</v>
      </c>
      <c r="D159" s="105">
        <f t="shared" si="6"/>
        <v>5413964</v>
      </c>
      <c r="E159" s="105">
        <v>0</v>
      </c>
      <c r="F159" s="105">
        <v>0</v>
      </c>
      <c r="G159" s="105">
        <v>2047301</v>
      </c>
      <c r="H159" s="105">
        <v>2047301</v>
      </c>
      <c r="I159" s="105">
        <v>1319362</v>
      </c>
      <c r="J159" s="105">
        <v>0</v>
      </c>
      <c r="K159" s="106">
        <v>0</v>
      </c>
      <c r="L159" s="105">
        <v>0</v>
      </c>
      <c r="M159" s="106">
        <v>0</v>
      </c>
      <c r="N159" s="105">
        <v>0</v>
      </c>
      <c r="O159" s="106">
        <v>0</v>
      </c>
      <c r="P159" s="105">
        <v>0</v>
      </c>
      <c r="Q159" s="106">
        <v>0</v>
      </c>
      <c r="R159" s="105">
        <v>0</v>
      </c>
      <c r="S159" s="106">
        <v>0</v>
      </c>
      <c r="T159" s="105">
        <v>0</v>
      </c>
      <c r="U159" s="105"/>
      <c r="V159" s="105"/>
      <c r="W159" s="105"/>
      <c r="X159" s="110"/>
    </row>
    <row r="160" spans="1:24" s="22" customFormat="1" ht="15" customHeight="1" x14ac:dyDescent="0.25">
      <c r="A160" s="104">
        <v>153</v>
      </c>
      <c r="B160" s="64" t="s">
        <v>148</v>
      </c>
      <c r="C160" s="66">
        <f t="shared" si="5"/>
        <v>1533757</v>
      </c>
      <c r="D160" s="105">
        <f t="shared" si="6"/>
        <v>0</v>
      </c>
      <c r="E160" s="105">
        <v>0</v>
      </c>
      <c r="F160" s="105">
        <v>0</v>
      </c>
      <c r="G160" s="105">
        <v>0</v>
      </c>
      <c r="H160" s="105">
        <v>0</v>
      </c>
      <c r="I160" s="105">
        <v>0</v>
      </c>
      <c r="J160" s="105">
        <v>0</v>
      </c>
      <c r="K160" s="106">
        <v>0</v>
      </c>
      <c r="L160" s="105">
        <v>0</v>
      </c>
      <c r="M160" s="106">
        <v>772.9</v>
      </c>
      <c r="N160" s="105">
        <v>1533757</v>
      </c>
      <c r="O160" s="106">
        <v>0</v>
      </c>
      <c r="P160" s="105">
        <v>0</v>
      </c>
      <c r="Q160" s="106">
        <v>0</v>
      </c>
      <c r="R160" s="105">
        <v>0</v>
      </c>
      <c r="S160" s="106">
        <v>0</v>
      </c>
      <c r="T160" s="105">
        <v>0</v>
      </c>
      <c r="U160" s="105"/>
      <c r="V160" s="105"/>
      <c r="W160" s="105"/>
      <c r="X160" s="110"/>
    </row>
    <row r="161" spans="1:24" s="22" customFormat="1" ht="15" customHeight="1" x14ac:dyDescent="0.25">
      <c r="A161" s="104">
        <v>154</v>
      </c>
      <c r="B161" s="64" t="s">
        <v>174</v>
      </c>
      <c r="C161" s="66">
        <f t="shared" si="5"/>
        <v>1983854</v>
      </c>
      <c r="D161" s="105">
        <f t="shared" si="6"/>
        <v>0</v>
      </c>
      <c r="E161" s="105">
        <v>0</v>
      </c>
      <c r="F161" s="105">
        <v>0</v>
      </c>
      <c r="G161" s="105">
        <v>0</v>
      </c>
      <c r="H161" s="105">
        <v>0</v>
      </c>
      <c r="I161" s="105">
        <v>0</v>
      </c>
      <c r="J161" s="105">
        <v>0</v>
      </c>
      <c r="K161" s="106">
        <v>0</v>
      </c>
      <c r="L161" s="105">
        <v>0</v>
      </c>
      <c r="M161" s="106">
        <v>1000</v>
      </c>
      <c r="N161" s="105">
        <v>1983854</v>
      </c>
      <c r="O161" s="106">
        <v>0</v>
      </c>
      <c r="P161" s="105">
        <v>0</v>
      </c>
      <c r="Q161" s="106">
        <v>0</v>
      </c>
      <c r="R161" s="105">
        <v>0</v>
      </c>
      <c r="S161" s="106">
        <v>0</v>
      </c>
      <c r="T161" s="105">
        <v>0</v>
      </c>
      <c r="U161" s="105"/>
      <c r="V161" s="105"/>
      <c r="W161" s="105"/>
      <c r="X161" s="110"/>
    </row>
    <row r="162" spans="1:24" s="117" customFormat="1" ht="15" customHeight="1" x14ac:dyDescent="0.25">
      <c r="A162" s="104">
        <v>155</v>
      </c>
      <c r="B162" s="64" t="s">
        <v>144</v>
      </c>
      <c r="C162" s="66">
        <f t="shared" si="5"/>
        <v>1814838</v>
      </c>
      <c r="D162" s="105">
        <f t="shared" si="6"/>
        <v>0</v>
      </c>
      <c r="E162" s="105">
        <v>0</v>
      </c>
      <c r="F162" s="105">
        <v>0</v>
      </c>
      <c r="G162" s="105">
        <v>0</v>
      </c>
      <c r="H162" s="105">
        <v>0</v>
      </c>
      <c r="I162" s="105">
        <v>0</v>
      </c>
      <c r="J162" s="105">
        <v>0</v>
      </c>
      <c r="K162" s="106">
        <v>0</v>
      </c>
      <c r="L162" s="105">
        <v>0</v>
      </c>
      <c r="M162" s="106">
        <v>917</v>
      </c>
      <c r="N162" s="105">
        <v>1814838</v>
      </c>
      <c r="O162" s="106">
        <v>0</v>
      </c>
      <c r="P162" s="105">
        <v>0</v>
      </c>
      <c r="Q162" s="106">
        <v>0</v>
      </c>
      <c r="R162" s="105">
        <v>0</v>
      </c>
      <c r="S162" s="106">
        <v>0</v>
      </c>
      <c r="T162" s="105">
        <v>0</v>
      </c>
      <c r="U162" s="105"/>
      <c r="V162" s="105"/>
      <c r="W162" s="105"/>
      <c r="X162" s="110"/>
    </row>
    <row r="163" spans="1:24" s="22" customFormat="1" ht="15" customHeight="1" x14ac:dyDescent="0.25">
      <c r="A163" s="104">
        <v>156</v>
      </c>
      <c r="B163" s="64" t="s">
        <v>142</v>
      </c>
      <c r="C163" s="66">
        <f t="shared" si="5"/>
        <v>676398.28</v>
      </c>
      <c r="D163" s="105">
        <f t="shared" si="6"/>
        <v>0</v>
      </c>
      <c r="E163" s="105">
        <v>0</v>
      </c>
      <c r="F163" s="105">
        <v>0</v>
      </c>
      <c r="G163" s="105">
        <v>0</v>
      </c>
      <c r="H163" s="105">
        <v>0</v>
      </c>
      <c r="I163" s="105">
        <v>0</v>
      </c>
      <c r="J163" s="105">
        <v>0</v>
      </c>
      <c r="K163" s="106">
        <v>0</v>
      </c>
      <c r="L163" s="105">
        <v>0</v>
      </c>
      <c r="M163" s="106">
        <v>0</v>
      </c>
      <c r="N163" s="105">
        <v>0</v>
      </c>
      <c r="O163" s="106">
        <v>0</v>
      </c>
      <c r="P163" s="105">
        <v>0</v>
      </c>
      <c r="Q163" s="106">
        <v>1444</v>
      </c>
      <c r="R163" s="105">
        <v>676398.28</v>
      </c>
      <c r="S163" s="106">
        <v>0</v>
      </c>
      <c r="T163" s="105">
        <v>0</v>
      </c>
      <c r="U163" s="105"/>
      <c r="V163" s="105"/>
      <c r="W163" s="105"/>
      <c r="X163" s="110"/>
    </row>
    <row r="164" spans="1:24" s="22" customFormat="1" ht="15" customHeight="1" x14ac:dyDescent="0.25">
      <c r="A164" s="104">
        <v>157</v>
      </c>
      <c r="B164" s="64" t="s">
        <v>146</v>
      </c>
      <c r="C164" s="66">
        <f t="shared" si="5"/>
        <v>1127374.33</v>
      </c>
      <c r="D164" s="105">
        <f t="shared" si="6"/>
        <v>1127374.33</v>
      </c>
      <c r="E164" s="105">
        <v>0</v>
      </c>
      <c r="F164" s="105">
        <v>746387.1</v>
      </c>
      <c r="G164" s="105">
        <v>0</v>
      </c>
      <c r="H164" s="105">
        <v>380987.23</v>
      </c>
      <c r="I164" s="105">
        <v>0</v>
      </c>
      <c r="J164" s="105">
        <v>0</v>
      </c>
      <c r="K164" s="106">
        <v>0</v>
      </c>
      <c r="L164" s="105">
        <v>0</v>
      </c>
      <c r="M164" s="106">
        <v>0</v>
      </c>
      <c r="N164" s="105">
        <v>0</v>
      </c>
      <c r="O164" s="106">
        <v>0</v>
      </c>
      <c r="P164" s="105">
        <v>0</v>
      </c>
      <c r="Q164" s="106">
        <v>0</v>
      </c>
      <c r="R164" s="105">
        <v>0</v>
      </c>
      <c r="S164" s="106">
        <v>0</v>
      </c>
      <c r="T164" s="105">
        <v>0</v>
      </c>
      <c r="U164" s="105"/>
      <c r="V164" s="105"/>
      <c r="W164" s="105"/>
      <c r="X164" s="110"/>
    </row>
    <row r="165" spans="1:24" s="22" customFormat="1" ht="15" customHeight="1" x14ac:dyDescent="0.25">
      <c r="A165" s="104">
        <v>158</v>
      </c>
      <c r="B165" s="64" t="s">
        <v>153</v>
      </c>
      <c r="C165" s="66">
        <f t="shared" si="5"/>
        <v>1411363</v>
      </c>
      <c r="D165" s="105">
        <f t="shared" si="6"/>
        <v>0</v>
      </c>
      <c r="E165" s="105">
        <v>0</v>
      </c>
      <c r="F165" s="105">
        <v>0</v>
      </c>
      <c r="G165" s="105">
        <v>0</v>
      </c>
      <c r="H165" s="105">
        <v>0</v>
      </c>
      <c r="I165" s="105">
        <v>0</v>
      </c>
      <c r="J165" s="105">
        <v>0</v>
      </c>
      <c r="K165" s="106">
        <v>0</v>
      </c>
      <c r="L165" s="105">
        <v>0</v>
      </c>
      <c r="M165" s="106">
        <v>702</v>
      </c>
      <c r="N165" s="105">
        <v>1411363</v>
      </c>
      <c r="O165" s="106">
        <v>0</v>
      </c>
      <c r="P165" s="105">
        <v>0</v>
      </c>
      <c r="Q165" s="106">
        <v>0</v>
      </c>
      <c r="R165" s="105">
        <v>0</v>
      </c>
      <c r="S165" s="106">
        <v>0</v>
      </c>
      <c r="T165" s="105">
        <v>0</v>
      </c>
      <c r="U165" s="105"/>
      <c r="V165" s="105"/>
      <c r="W165" s="105"/>
      <c r="X165" s="110"/>
    </row>
    <row r="166" spans="1:24" s="22" customFormat="1" ht="15" customHeight="1" x14ac:dyDescent="0.25">
      <c r="A166" s="104">
        <v>159</v>
      </c>
      <c r="B166" s="64" t="s">
        <v>131</v>
      </c>
      <c r="C166" s="66">
        <f t="shared" si="5"/>
        <v>703675.57</v>
      </c>
      <c r="D166" s="105">
        <f t="shared" si="6"/>
        <v>0</v>
      </c>
      <c r="E166" s="105">
        <v>0</v>
      </c>
      <c r="F166" s="105">
        <v>0</v>
      </c>
      <c r="G166" s="105">
        <v>0</v>
      </c>
      <c r="H166" s="105">
        <v>0</v>
      </c>
      <c r="I166" s="105">
        <v>0</v>
      </c>
      <c r="J166" s="105">
        <v>0</v>
      </c>
      <c r="K166" s="106">
        <v>0</v>
      </c>
      <c r="L166" s="105">
        <v>0</v>
      </c>
      <c r="M166" s="106">
        <v>378</v>
      </c>
      <c r="N166" s="105">
        <v>703675.57</v>
      </c>
      <c r="O166" s="106">
        <v>0</v>
      </c>
      <c r="P166" s="105">
        <v>0</v>
      </c>
      <c r="Q166" s="106">
        <v>0</v>
      </c>
      <c r="R166" s="105">
        <v>0</v>
      </c>
      <c r="S166" s="106">
        <v>0</v>
      </c>
      <c r="T166" s="105">
        <v>0</v>
      </c>
      <c r="U166" s="105"/>
      <c r="V166" s="105"/>
      <c r="W166" s="105"/>
      <c r="X166" s="110"/>
    </row>
    <row r="167" spans="1:24" s="22" customFormat="1" ht="15" customHeight="1" x14ac:dyDescent="0.25">
      <c r="A167" s="104">
        <v>160</v>
      </c>
      <c r="B167" s="64" t="s">
        <v>130</v>
      </c>
      <c r="C167" s="66">
        <f t="shared" si="5"/>
        <v>2270396</v>
      </c>
      <c r="D167" s="105">
        <f t="shared" si="6"/>
        <v>2270396</v>
      </c>
      <c r="E167" s="105">
        <v>0</v>
      </c>
      <c r="F167" s="105">
        <v>0</v>
      </c>
      <c r="G167" s="105">
        <v>0</v>
      </c>
      <c r="H167" s="105">
        <v>2270396</v>
      </c>
      <c r="I167" s="105">
        <v>0</v>
      </c>
      <c r="J167" s="105">
        <v>0</v>
      </c>
      <c r="K167" s="106">
        <v>0</v>
      </c>
      <c r="L167" s="105">
        <v>0</v>
      </c>
      <c r="M167" s="106">
        <v>0</v>
      </c>
      <c r="N167" s="105">
        <v>0</v>
      </c>
      <c r="O167" s="106">
        <v>0</v>
      </c>
      <c r="P167" s="105">
        <v>0</v>
      </c>
      <c r="Q167" s="106">
        <v>0</v>
      </c>
      <c r="R167" s="105">
        <v>0</v>
      </c>
      <c r="S167" s="106">
        <v>0</v>
      </c>
      <c r="T167" s="105">
        <v>0</v>
      </c>
      <c r="U167" s="105"/>
      <c r="V167" s="105"/>
      <c r="W167" s="105"/>
      <c r="X167" s="110"/>
    </row>
    <row r="168" spans="1:24" s="22" customFormat="1" ht="15" customHeight="1" x14ac:dyDescent="0.25">
      <c r="A168" s="104">
        <v>161</v>
      </c>
      <c r="B168" s="64" t="s">
        <v>67</v>
      </c>
      <c r="C168" s="66">
        <f t="shared" si="5"/>
        <v>871988</v>
      </c>
      <c r="D168" s="105">
        <f t="shared" si="6"/>
        <v>0</v>
      </c>
      <c r="E168" s="105">
        <v>0</v>
      </c>
      <c r="F168" s="105">
        <v>0</v>
      </c>
      <c r="G168" s="105">
        <v>0</v>
      </c>
      <c r="H168" s="105">
        <v>0</v>
      </c>
      <c r="I168" s="105">
        <v>0</v>
      </c>
      <c r="J168" s="105">
        <v>0</v>
      </c>
      <c r="K168" s="106">
        <v>0</v>
      </c>
      <c r="L168" s="105">
        <v>0</v>
      </c>
      <c r="M168" s="106">
        <v>438.23</v>
      </c>
      <c r="N168" s="105">
        <v>871988</v>
      </c>
      <c r="O168" s="106">
        <v>0</v>
      </c>
      <c r="P168" s="105">
        <v>0</v>
      </c>
      <c r="Q168" s="106">
        <v>0</v>
      </c>
      <c r="R168" s="105">
        <v>0</v>
      </c>
      <c r="S168" s="106">
        <v>0</v>
      </c>
      <c r="T168" s="105">
        <v>0</v>
      </c>
      <c r="U168" s="105" t="e">
        <f>#REF!*0.08</f>
        <v>#REF!</v>
      </c>
      <c r="V168" s="105" t="e">
        <f>#REF!*0.0214</f>
        <v>#REF!</v>
      </c>
      <c r="W168" s="105" t="e">
        <f>#REF!+U168+V168</f>
        <v>#REF!</v>
      </c>
      <c r="X168" s="110"/>
    </row>
    <row r="169" spans="1:24" s="22" customFormat="1" ht="15" customHeight="1" x14ac:dyDescent="0.25">
      <c r="A169" s="104">
        <v>162</v>
      </c>
      <c r="B169" s="64" t="s">
        <v>68</v>
      </c>
      <c r="C169" s="66">
        <f t="shared" si="5"/>
        <v>15157758</v>
      </c>
      <c r="D169" s="105">
        <f t="shared" si="6"/>
        <v>0</v>
      </c>
      <c r="E169" s="105">
        <v>0</v>
      </c>
      <c r="F169" s="105">
        <v>0</v>
      </c>
      <c r="G169" s="105">
        <v>0</v>
      </c>
      <c r="H169" s="105">
        <v>0</v>
      </c>
      <c r="I169" s="105">
        <v>0</v>
      </c>
      <c r="J169" s="105">
        <v>0</v>
      </c>
      <c r="K169" s="106">
        <v>8</v>
      </c>
      <c r="L169" s="105">
        <v>15157758</v>
      </c>
      <c r="M169" s="106">
        <v>0</v>
      </c>
      <c r="N169" s="105">
        <v>0</v>
      </c>
      <c r="O169" s="106">
        <v>0</v>
      </c>
      <c r="P169" s="105">
        <v>0</v>
      </c>
      <c r="Q169" s="106">
        <v>0</v>
      </c>
      <c r="R169" s="105">
        <v>0</v>
      </c>
      <c r="S169" s="106">
        <v>0</v>
      </c>
      <c r="T169" s="105">
        <v>0</v>
      </c>
      <c r="U169" s="105" t="e">
        <f>#REF!*0.08</f>
        <v>#REF!</v>
      </c>
      <c r="V169" s="105" t="e">
        <f>#REF!*0.0214</f>
        <v>#REF!</v>
      </c>
      <c r="W169" s="105" t="e">
        <f>#REF!+U169+V169</f>
        <v>#REF!</v>
      </c>
      <c r="X169" s="110"/>
    </row>
    <row r="170" spans="1:24" s="22" customFormat="1" ht="15" customHeight="1" x14ac:dyDescent="0.25">
      <c r="A170" s="104">
        <v>163</v>
      </c>
      <c r="B170" s="64" t="s">
        <v>86</v>
      </c>
      <c r="C170" s="66">
        <f t="shared" si="5"/>
        <v>2346663</v>
      </c>
      <c r="D170" s="105">
        <f t="shared" si="6"/>
        <v>2346663</v>
      </c>
      <c r="E170" s="105">
        <v>0</v>
      </c>
      <c r="F170" s="105">
        <v>0</v>
      </c>
      <c r="G170" s="105">
        <v>0</v>
      </c>
      <c r="H170" s="111">
        <v>2346663</v>
      </c>
      <c r="I170" s="105">
        <v>0</v>
      </c>
      <c r="J170" s="105">
        <v>0</v>
      </c>
      <c r="K170" s="106">
        <v>0</v>
      </c>
      <c r="L170" s="105">
        <v>0</v>
      </c>
      <c r="M170" s="107">
        <v>0</v>
      </c>
      <c r="N170" s="105">
        <v>0</v>
      </c>
      <c r="O170" s="106">
        <v>0</v>
      </c>
      <c r="P170" s="105">
        <v>0</v>
      </c>
      <c r="Q170" s="107">
        <v>0</v>
      </c>
      <c r="R170" s="105">
        <v>0</v>
      </c>
      <c r="S170" s="106">
        <v>0</v>
      </c>
      <c r="T170" s="105">
        <v>0</v>
      </c>
      <c r="U170" s="108"/>
      <c r="V170" s="108"/>
      <c r="W170" s="108"/>
      <c r="X170" s="109"/>
    </row>
    <row r="171" spans="1:24" s="22" customFormat="1" ht="25.5" x14ac:dyDescent="0.25">
      <c r="A171" s="104">
        <v>164</v>
      </c>
      <c r="B171" s="64" t="s">
        <v>59</v>
      </c>
      <c r="C171" s="66">
        <f t="shared" si="5"/>
        <v>1313728</v>
      </c>
      <c r="D171" s="105">
        <f t="shared" si="6"/>
        <v>0</v>
      </c>
      <c r="E171" s="105">
        <v>0</v>
      </c>
      <c r="F171" s="105">
        <v>0</v>
      </c>
      <c r="G171" s="105">
        <v>0</v>
      </c>
      <c r="H171" s="105">
        <v>0</v>
      </c>
      <c r="I171" s="105">
        <v>0</v>
      </c>
      <c r="J171" s="105">
        <v>0</v>
      </c>
      <c r="K171" s="106">
        <v>0</v>
      </c>
      <c r="L171" s="105">
        <v>0</v>
      </c>
      <c r="M171" s="107">
        <v>660.7</v>
      </c>
      <c r="N171" s="105">
        <v>1313728</v>
      </c>
      <c r="O171" s="106">
        <v>0</v>
      </c>
      <c r="P171" s="105">
        <v>0</v>
      </c>
      <c r="Q171" s="106">
        <v>0</v>
      </c>
      <c r="R171" s="105">
        <v>0</v>
      </c>
      <c r="S171" s="106">
        <v>0</v>
      </c>
      <c r="T171" s="105">
        <v>0</v>
      </c>
      <c r="U171" s="105" t="e">
        <f>#REF!*0.08</f>
        <v>#REF!</v>
      </c>
      <c r="V171" s="105" t="e">
        <f>#REF!*0.0214</f>
        <v>#REF!</v>
      </c>
      <c r="W171" s="105" t="e">
        <f>#REF!+U171+V171</f>
        <v>#REF!</v>
      </c>
      <c r="X171" s="110"/>
    </row>
    <row r="172" spans="1:24" s="22" customFormat="1" ht="15" customHeight="1" x14ac:dyDescent="0.25">
      <c r="A172" s="104">
        <v>165</v>
      </c>
      <c r="B172" s="64" t="s">
        <v>184</v>
      </c>
      <c r="C172" s="66">
        <f t="shared" si="5"/>
        <v>3720676</v>
      </c>
      <c r="D172" s="105">
        <f t="shared" si="6"/>
        <v>0</v>
      </c>
      <c r="E172" s="105">
        <v>0</v>
      </c>
      <c r="F172" s="105">
        <v>0</v>
      </c>
      <c r="G172" s="105">
        <v>0</v>
      </c>
      <c r="H172" s="105">
        <v>0</v>
      </c>
      <c r="I172" s="105">
        <v>0</v>
      </c>
      <c r="J172" s="105">
        <v>0</v>
      </c>
      <c r="K172" s="106">
        <v>2</v>
      </c>
      <c r="L172" s="105">
        <v>3720676</v>
      </c>
      <c r="M172" s="106">
        <v>0</v>
      </c>
      <c r="N172" s="105">
        <v>0</v>
      </c>
      <c r="O172" s="106">
        <v>0</v>
      </c>
      <c r="P172" s="105">
        <v>0</v>
      </c>
      <c r="Q172" s="106">
        <v>0</v>
      </c>
      <c r="R172" s="105">
        <v>0</v>
      </c>
      <c r="S172" s="106">
        <v>0</v>
      </c>
      <c r="T172" s="105">
        <v>0</v>
      </c>
      <c r="U172" s="105"/>
      <c r="V172" s="105"/>
      <c r="W172" s="105"/>
      <c r="X172" s="110"/>
    </row>
    <row r="173" spans="1:24" s="22" customFormat="1" ht="15" customHeight="1" x14ac:dyDescent="0.25">
      <c r="A173" s="104">
        <v>166</v>
      </c>
      <c r="B173" s="64" t="s">
        <v>96</v>
      </c>
      <c r="C173" s="66">
        <f t="shared" si="5"/>
        <v>1910088</v>
      </c>
      <c r="D173" s="105">
        <f t="shared" si="6"/>
        <v>1910088</v>
      </c>
      <c r="E173" s="105">
        <v>0</v>
      </c>
      <c r="F173" s="105">
        <v>1910088</v>
      </c>
      <c r="G173" s="105">
        <v>0</v>
      </c>
      <c r="H173" s="105">
        <v>0</v>
      </c>
      <c r="I173" s="105">
        <v>0</v>
      </c>
      <c r="J173" s="105">
        <v>0</v>
      </c>
      <c r="K173" s="106">
        <v>0</v>
      </c>
      <c r="L173" s="105">
        <v>0</v>
      </c>
      <c r="M173" s="106">
        <v>0</v>
      </c>
      <c r="N173" s="105">
        <v>0</v>
      </c>
      <c r="O173" s="106">
        <v>0</v>
      </c>
      <c r="P173" s="105">
        <v>0</v>
      </c>
      <c r="Q173" s="107">
        <v>0</v>
      </c>
      <c r="R173" s="105">
        <v>0</v>
      </c>
      <c r="S173" s="106">
        <v>0</v>
      </c>
      <c r="T173" s="105">
        <v>0</v>
      </c>
      <c r="U173" s="108"/>
      <c r="V173" s="108"/>
      <c r="W173" s="108"/>
      <c r="X173" s="109"/>
    </row>
    <row r="174" spans="1:24" s="22" customFormat="1" ht="15" customHeight="1" x14ac:dyDescent="0.25">
      <c r="A174" s="104">
        <v>167</v>
      </c>
      <c r="B174" s="64" t="s">
        <v>65</v>
      </c>
      <c r="C174" s="66">
        <f t="shared" si="5"/>
        <v>1721850</v>
      </c>
      <c r="D174" s="105">
        <f t="shared" si="6"/>
        <v>0</v>
      </c>
      <c r="E174" s="105">
        <v>0</v>
      </c>
      <c r="F174" s="105">
        <v>0</v>
      </c>
      <c r="G174" s="105">
        <v>0</v>
      </c>
      <c r="H174" s="105">
        <v>0</v>
      </c>
      <c r="I174" s="105">
        <v>0</v>
      </c>
      <c r="J174" s="105">
        <v>0</v>
      </c>
      <c r="K174" s="106">
        <v>0</v>
      </c>
      <c r="L174" s="105">
        <v>0</v>
      </c>
      <c r="M174" s="106">
        <v>868.68</v>
      </c>
      <c r="N174" s="105">
        <v>1721850</v>
      </c>
      <c r="O174" s="106">
        <v>0</v>
      </c>
      <c r="P174" s="105">
        <v>0</v>
      </c>
      <c r="Q174" s="106">
        <v>0</v>
      </c>
      <c r="R174" s="105">
        <v>0</v>
      </c>
      <c r="S174" s="106">
        <v>0</v>
      </c>
      <c r="T174" s="105">
        <v>0</v>
      </c>
      <c r="U174" s="105" t="e">
        <f>#REF!*0.08</f>
        <v>#REF!</v>
      </c>
      <c r="V174" s="105" t="e">
        <f>#REF!*0.0214</f>
        <v>#REF!</v>
      </c>
      <c r="W174" s="105" t="e">
        <f>#REF!+U174+V174</f>
        <v>#REF!</v>
      </c>
      <c r="X174" s="110"/>
    </row>
    <row r="175" spans="1:24" s="22" customFormat="1" ht="15" customHeight="1" thickBot="1" x14ac:dyDescent="0.3">
      <c r="A175" s="118">
        <v>168</v>
      </c>
      <c r="B175" s="119" t="s">
        <v>69</v>
      </c>
      <c r="C175" s="71">
        <f t="shared" si="5"/>
        <v>15157758</v>
      </c>
      <c r="D175" s="121">
        <f t="shared" si="6"/>
        <v>0</v>
      </c>
      <c r="E175" s="121">
        <v>0</v>
      </c>
      <c r="F175" s="121">
        <v>0</v>
      </c>
      <c r="G175" s="121">
        <v>0</v>
      </c>
      <c r="H175" s="121">
        <v>0</v>
      </c>
      <c r="I175" s="121">
        <v>0</v>
      </c>
      <c r="J175" s="121">
        <v>0</v>
      </c>
      <c r="K175" s="120">
        <v>8</v>
      </c>
      <c r="L175" s="121">
        <v>15157758</v>
      </c>
      <c r="M175" s="120">
        <v>0</v>
      </c>
      <c r="N175" s="121">
        <v>0</v>
      </c>
      <c r="O175" s="120">
        <v>0</v>
      </c>
      <c r="P175" s="121">
        <v>0</v>
      </c>
      <c r="Q175" s="120">
        <v>0</v>
      </c>
      <c r="R175" s="121">
        <v>0</v>
      </c>
      <c r="S175" s="120">
        <v>0</v>
      </c>
      <c r="T175" s="121">
        <v>0</v>
      </c>
      <c r="U175" s="121"/>
      <c r="V175" s="121"/>
      <c r="W175" s="121"/>
      <c r="X175" s="122"/>
    </row>
    <row r="176" spans="1:24" x14ac:dyDescent="0.25">
      <c r="A176" s="123"/>
      <c r="B176" s="123"/>
      <c r="C176" s="124"/>
      <c r="D176" s="125"/>
      <c r="E176" s="125"/>
      <c r="F176" s="125"/>
      <c r="G176" s="125"/>
      <c r="H176" s="125"/>
      <c r="I176" s="125"/>
      <c r="J176" s="125"/>
      <c r="K176" s="125"/>
      <c r="L176" s="125"/>
      <c r="M176" s="125"/>
      <c r="N176" s="125"/>
      <c r="O176" s="125"/>
      <c r="P176" s="125"/>
      <c r="Q176" s="125"/>
      <c r="R176" s="125"/>
      <c r="S176" s="125"/>
      <c r="T176" s="125"/>
      <c r="U176" s="125"/>
      <c r="V176" s="125"/>
      <c r="W176" s="125"/>
      <c r="X176" s="125"/>
    </row>
    <row r="177" spans="1:24" ht="15.75" customHeight="1" x14ac:dyDescent="0.35">
      <c r="A177" s="126"/>
      <c r="B177" s="10" t="s">
        <v>50</v>
      </c>
      <c r="C177" s="127"/>
      <c r="D177" s="11"/>
      <c r="E177" s="11"/>
      <c r="F177" s="11"/>
      <c r="G177" s="11"/>
      <c r="H177" s="11"/>
      <c r="I177" s="11"/>
      <c r="J177" s="11"/>
      <c r="K177" s="11"/>
      <c r="L177" s="12"/>
      <c r="M177" s="13"/>
      <c r="N177" s="12"/>
      <c r="O177" s="13"/>
      <c r="P177" s="84"/>
      <c r="Q177" s="13"/>
      <c r="R177" s="84"/>
      <c r="S177" s="13"/>
    </row>
    <row r="178" spans="1:24" ht="15.75" customHeight="1" x14ac:dyDescent="0.35">
      <c r="A178" s="126"/>
      <c r="B178" s="15" t="s">
        <v>31</v>
      </c>
      <c r="C178" s="128"/>
      <c r="D178" s="129"/>
      <c r="E178" s="133"/>
      <c r="F178" s="133"/>
      <c r="G178" s="16" t="s">
        <v>53</v>
      </c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84"/>
      <c r="U178" s="13"/>
      <c r="V178" s="13"/>
      <c r="W178" s="23"/>
      <c r="X178" s="23"/>
    </row>
    <row r="179" spans="1:24" ht="15.75" customHeight="1" x14ac:dyDescent="0.35">
      <c r="A179" s="126"/>
      <c r="B179" s="10"/>
      <c r="C179" s="127"/>
      <c r="D179" s="11"/>
      <c r="E179" s="11"/>
      <c r="F179" s="11"/>
      <c r="G179" s="11"/>
      <c r="H179" s="11"/>
      <c r="I179" s="11"/>
      <c r="J179" s="11"/>
      <c r="K179" s="11"/>
      <c r="L179" s="12"/>
      <c r="M179" s="13"/>
      <c r="N179" s="12"/>
      <c r="O179" s="13"/>
      <c r="P179" s="84"/>
      <c r="Q179" s="13"/>
      <c r="R179" s="84"/>
      <c r="S179" s="13"/>
      <c r="T179" s="16"/>
      <c r="U179" s="16"/>
      <c r="V179" s="16"/>
      <c r="W179" s="23"/>
      <c r="X179" s="23"/>
    </row>
    <row r="180" spans="1:24" ht="15.75" customHeight="1" x14ac:dyDescent="0.25">
      <c r="B180" s="17"/>
      <c r="C180" s="130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84"/>
      <c r="U180" s="13"/>
      <c r="V180" s="13"/>
      <c r="W180" s="23"/>
      <c r="X180" s="23"/>
    </row>
    <row r="181" spans="1:24" ht="15.75" customHeight="1" x14ac:dyDescent="0.25">
      <c r="B181" s="17"/>
      <c r="C181" s="130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23"/>
      <c r="U181" s="23"/>
      <c r="V181" s="23"/>
      <c r="W181" s="23"/>
      <c r="X181" s="23"/>
    </row>
    <row r="182" spans="1:24" ht="15.75" customHeight="1" x14ac:dyDescent="0.25">
      <c r="B182" s="18" t="s">
        <v>29</v>
      </c>
      <c r="C182" s="131"/>
      <c r="D182" s="18"/>
      <c r="E182" s="18"/>
      <c r="F182" s="18"/>
      <c r="G182" s="18"/>
      <c r="H182" s="18"/>
      <c r="I182" s="18"/>
      <c r="J182" s="18"/>
      <c r="K182" s="18"/>
      <c r="L182" s="18" t="s">
        <v>29</v>
      </c>
      <c r="M182" s="17"/>
      <c r="N182" s="17"/>
      <c r="O182" s="17"/>
      <c r="P182" s="17"/>
      <c r="Q182" s="17"/>
      <c r="R182" s="17"/>
      <c r="S182" s="17"/>
      <c r="T182" s="23"/>
      <c r="U182" s="23"/>
      <c r="V182" s="23"/>
      <c r="W182" s="23"/>
      <c r="X182" s="23"/>
    </row>
    <row r="183" spans="1:24" ht="15.75" customHeight="1" x14ac:dyDescent="0.25">
      <c r="B183" s="18" t="s">
        <v>30</v>
      </c>
      <c r="C183" s="131"/>
      <c r="D183" s="18"/>
      <c r="E183" s="18"/>
      <c r="F183" s="18"/>
      <c r="G183" s="18"/>
      <c r="H183" s="18"/>
      <c r="I183" s="18"/>
      <c r="J183" s="18"/>
      <c r="K183" s="18"/>
      <c r="L183" s="18" t="s">
        <v>51</v>
      </c>
      <c r="M183" s="17"/>
      <c r="N183" s="17"/>
      <c r="O183" s="17"/>
      <c r="P183" s="17"/>
      <c r="Q183" s="17"/>
      <c r="R183" s="17"/>
      <c r="S183" s="17"/>
      <c r="T183" s="23"/>
      <c r="U183" s="23"/>
      <c r="V183" s="23"/>
      <c r="W183" s="23"/>
      <c r="X183" s="23"/>
    </row>
    <row r="184" spans="1:24" ht="15.75" customHeight="1" x14ac:dyDescent="0.25">
      <c r="B184" s="18" t="s">
        <v>34</v>
      </c>
      <c r="C184" s="131"/>
      <c r="D184" s="18"/>
      <c r="E184" s="18"/>
      <c r="F184" s="18"/>
      <c r="G184" s="18"/>
      <c r="H184" s="18"/>
      <c r="I184" s="18"/>
      <c r="J184" s="18"/>
      <c r="K184" s="18"/>
      <c r="L184" s="18" t="s">
        <v>52</v>
      </c>
      <c r="M184" s="17"/>
      <c r="N184" s="17"/>
      <c r="O184" s="17"/>
      <c r="P184" s="17"/>
      <c r="Q184" s="17"/>
      <c r="R184" s="17"/>
      <c r="S184" s="17"/>
      <c r="T184" s="23"/>
      <c r="U184" s="23"/>
      <c r="V184" s="23"/>
      <c r="W184" s="23"/>
      <c r="X184" s="23"/>
    </row>
    <row r="185" spans="1:24" ht="15.75" x14ac:dyDescent="0.25">
      <c r="A185" s="23"/>
      <c r="B185" s="23"/>
      <c r="C185" s="132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</row>
  </sheetData>
  <autoFilter ref="A7:Y178">
    <filterColumn colId="0" showButton="0"/>
  </autoFilter>
  <mergeCells count="14">
    <mergeCell ref="U3:U4"/>
    <mergeCell ref="V3:V4"/>
    <mergeCell ref="X3:X4"/>
    <mergeCell ref="A7:B7"/>
    <mergeCell ref="A2:T2"/>
    <mergeCell ref="A3:A5"/>
    <mergeCell ref="B3:B5"/>
    <mergeCell ref="C3:C4"/>
    <mergeCell ref="D3:J3"/>
    <mergeCell ref="K3:L4"/>
    <mergeCell ref="M3:N4"/>
    <mergeCell ref="O3:P4"/>
    <mergeCell ref="Q3:R4"/>
    <mergeCell ref="S3:T4"/>
  </mergeCells>
  <pageMargins left="0.23622047244094491" right="0.19685039370078741" top="0.47244094488188981" bottom="0.39370078740157483" header="0.31496062992125984" footer="0.31496062992125984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zoomScale="85" zoomScaleNormal="85" workbookViewId="0">
      <selection activeCell="A2" sqref="A2:N19"/>
    </sheetView>
  </sheetViews>
  <sheetFormatPr defaultRowHeight="15" x14ac:dyDescent="0.25"/>
  <cols>
    <col min="1" max="1" width="26.7109375" customWidth="1"/>
    <col min="2" max="2" width="17.85546875" customWidth="1"/>
    <col min="3" max="3" width="19.42578125" customWidth="1"/>
    <col min="10" max="10" width="13.42578125" customWidth="1"/>
    <col min="11" max="11" width="14.28515625" customWidth="1"/>
    <col min="12" max="12" width="14.7109375" customWidth="1"/>
    <col min="13" max="13" width="13.85546875" bestFit="1" customWidth="1"/>
  </cols>
  <sheetData>
    <row r="1" spans="1:26" x14ac:dyDescent="0.25">
      <c r="E1" s="24"/>
      <c r="F1" s="24"/>
      <c r="G1" s="24"/>
      <c r="H1" s="24"/>
      <c r="I1" s="24"/>
      <c r="J1" s="24"/>
      <c r="K1" s="24"/>
      <c r="L1" s="24"/>
      <c r="M1" s="24"/>
    </row>
    <row r="2" spans="1:26" ht="16.5" thickBot="1" x14ac:dyDescent="0.3">
      <c r="A2" s="185" t="s">
        <v>37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</row>
    <row r="3" spans="1:26" ht="34.5" customHeight="1" x14ac:dyDescent="0.25">
      <c r="A3" s="186"/>
      <c r="B3" s="189" t="s">
        <v>38</v>
      </c>
      <c r="C3" s="189" t="s">
        <v>7</v>
      </c>
      <c r="D3" s="189" t="s">
        <v>39</v>
      </c>
      <c r="E3" s="189"/>
      <c r="F3" s="189"/>
      <c r="G3" s="189"/>
      <c r="H3" s="189"/>
      <c r="I3" s="189" t="s">
        <v>8</v>
      </c>
      <c r="J3" s="189"/>
      <c r="K3" s="189"/>
      <c r="L3" s="189"/>
      <c r="M3" s="191"/>
    </row>
    <row r="4" spans="1:26" ht="45.75" customHeight="1" x14ac:dyDescent="0.25">
      <c r="A4" s="187"/>
      <c r="B4" s="190"/>
      <c r="C4" s="190"/>
      <c r="D4" s="85" t="s">
        <v>40</v>
      </c>
      <c r="E4" s="85" t="s">
        <v>41</v>
      </c>
      <c r="F4" s="85" t="s">
        <v>42</v>
      </c>
      <c r="G4" s="85" t="s">
        <v>43</v>
      </c>
      <c r="H4" s="85" t="s">
        <v>14</v>
      </c>
      <c r="I4" s="85" t="s">
        <v>40</v>
      </c>
      <c r="J4" s="85" t="s">
        <v>41</v>
      </c>
      <c r="K4" s="85" t="s">
        <v>42</v>
      </c>
      <c r="L4" s="85" t="s">
        <v>43</v>
      </c>
      <c r="M4" s="50" t="s">
        <v>14</v>
      </c>
    </row>
    <row r="5" spans="1:26" ht="16.5" customHeight="1" thickBot="1" x14ac:dyDescent="0.3">
      <c r="A5" s="188"/>
      <c r="B5" s="62" t="s">
        <v>36</v>
      </c>
      <c r="C5" s="55" t="s">
        <v>21</v>
      </c>
      <c r="D5" s="55" t="s">
        <v>35</v>
      </c>
      <c r="E5" s="55" t="s">
        <v>35</v>
      </c>
      <c r="F5" s="55" t="s">
        <v>35</v>
      </c>
      <c r="G5" s="55" t="s">
        <v>35</v>
      </c>
      <c r="H5" s="55" t="s">
        <v>35</v>
      </c>
      <c r="I5" s="55" t="s">
        <v>22</v>
      </c>
      <c r="J5" s="55" t="s">
        <v>22</v>
      </c>
      <c r="K5" s="55" t="s">
        <v>22</v>
      </c>
      <c r="L5" s="55" t="s">
        <v>22</v>
      </c>
      <c r="M5" s="63" t="s">
        <v>22</v>
      </c>
    </row>
    <row r="6" spans="1:26" x14ac:dyDescent="0.25">
      <c r="A6" s="59">
        <v>1</v>
      </c>
      <c r="B6" s="60">
        <v>2</v>
      </c>
      <c r="C6" s="60">
        <v>3</v>
      </c>
      <c r="D6" s="60">
        <v>4</v>
      </c>
      <c r="E6" s="60">
        <v>5</v>
      </c>
      <c r="F6" s="60">
        <v>6</v>
      </c>
      <c r="G6" s="60">
        <v>7</v>
      </c>
      <c r="H6" s="60">
        <v>8</v>
      </c>
      <c r="I6" s="60">
        <v>9</v>
      </c>
      <c r="J6" s="60">
        <v>10</v>
      </c>
      <c r="K6" s="60">
        <v>11</v>
      </c>
      <c r="L6" s="60">
        <v>12</v>
      </c>
      <c r="M6" s="61">
        <v>13</v>
      </c>
    </row>
    <row r="7" spans="1:26" ht="64.5" customHeight="1" x14ac:dyDescent="0.25">
      <c r="A7" s="51" t="s">
        <v>33</v>
      </c>
      <c r="B7" s="26">
        <v>548258.53</v>
      </c>
      <c r="C7" s="25">
        <v>18992</v>
      </c>
      <c r="D7" s="25">
        <v>0</v>
      </c>
      <c r="E7" s="25">
        <v>18</v>
      </c>
      <c r="F7" s="25">
        <v>75</v>
      </c>
      <c r="G7" s="25">
        <v>75</v>
      </c>
      <c r="H7" s="25">
        <v>168</v>
      </c>
      <c r="I7" s="25">
        <v>0</v>
      </c>
      <c r="J7" s="27">
        <v>21817904.899999999</v>
      </c>
      <c r="K7" s="27">
        <v>118481989.69</v>
      </c>
      <c r="L7" s="27">
        <f>343781324.49-J7-K7</f>
        <v>203481429.90000004</v>
      </c>
      <c r="M7" s="52">
        <f>J7+K7+L7</f>
        <v>343781324.49000001</v>
      </c>
    </row>
    <row r="8" spans="1:26" ht="15.75" thickBot="1" x14ac:dyDescent="0.3">
      <c r="A8" s="53">
        <v>2016</v>
      </c>
      <c r="B8" s="54">
        <f>B7</f>
        <v>548258.53</v>
      </c>
      <c r="C8" s="25">
        <v>18992</v>
      </c>
      <c r="D8" s="56">
        <v>0</v>
      </c>
      <c r="E8" s="55">
        <v>18</v>
      </c>
      <c r="F8" s="55">
        <v>75</v>
      </c>
      <c r="G8" s="55">
        <v>75</v>
      </c>
      <c r="H8" s="55">
        <v>168</v>
      </c>
      <c r="I8" s="56">
        <v>0</v>
      </c>
      <c r="J8" s="57">
        <f t="shared" ref="J8:L8" si="0">J7</f>
        <v>21817904.899999999</v>
      </c>
      <c r="K8" s="57">
        <f t="shared" si="0"/>
        <v>118481989.69</v>
      </c>
      <c r="L8" s="57">
        <f t="shared" si="0"/>
        <v>203481429.90000004</v>
      </c>
      <c r="M8" s="58">
        <f>M7</f>
        <v>343781324.49000001</v>
      </c>
    </row>
    <row r="9" spans="1:26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9"/>
      <c r="M9" s="6"/>
    </row>
    <row r="10" spans="1:26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9"/>
      <c r="M10" s="29"/>
    </row>
    <row r="11" spans="1:26" s="30" customFormat="1" ht="21" x14ac:dyDescent="0.35">
      <c r="A11" s="10" t="s">
        <v>50</v>
      </c>
      <c r="B11" s="10"/>
      <c r="C11" s="11"/>
      <c r="D11" s="11"/>
      <c r="E11" s="11"/>
      <c r="F11" s="11"/>
      <c r="G11" s="11"/>
      <c r="H11" s="11"/>
      <c r="I11" s="11"/>
      <c r="J11" s="11"/>
      <c r="K11" s="12"/>
      <c r="L11" s="13"/>
      <c r="M11" s="12"/>
      <c r="N11" s="13"/>
      <c r="O11" s="14"/>
      <c r="P11" s="13"/>
      <c r="Q11" s="14"/>
      <c r="R11" s="13"/>
      <c r="T11"/>
      <c r="U11"/>
      <c r="V11"/>
      <c r="W11"/>
      <c r="X11"/>
      <c r="Y11" s="31"/>
    </row>
    <row r="12" spans="1:26" s="30" customFormat="1" ht="21" x14ac:dyDescent="0.35">
      <c r="A12" s="15" t="s">
        <v>31</v>
      </c>
      <c r="B12" s="16"/>
      <c r="C12" s="16"/>
      <c r="D12" s="16"/>
      <c r="E12" s="16"/>
      <c r="F12" s="16"/>
      <c r="G12" s="133"/>
      <c r="H12" s="133"/>
      <c r="I12" s="133"/>
      <c r="J12" s="16"/>
      <c r="K12" s="16" t="s">
        <v>53</v>
      </c>
      <c r="L12" s="16"/>
      <c r="M12" s="16"/>
      <c r="N12" s="16"/>
      <c r="O12" s="16"/>
      <c r="P12" s="16"/>
      <c r="T12" s="14"/>
      <c r="U12" s="13"/>
      <c r="V12" s="13"/>
      <c r="W12" s="23"/>
      <c r="X12" s="23"/>
      <c r="Y12" s="32"/>
      <c r="Z12" s="32"/>
    </row>
    <row r="13" spans="1:26" s="30" customFormat="1" ht="21" x14ac:dyDescent="0.35">
      <c r="A13" s="10"/>
      <c r="B13" s="10"/>
      <c r="C13" s="11"/>
      <c r="D13" s="11"/>
      <c r="E13" s="11"/>
      <c r="F13" s="11"/>
      <c r="G13" s="11"/>
      <c r="H13" s="11"/>
      <c r="I13" s="12"/>
      <c r="J13" s="13"/>
      <c r="K13" s="12"/>
      <c r="L13" s="13"/>
      <c r="M13" s="14"/>
      <c r="N13" s="13"/>
      <c r="O13" s="14"/>
      <c r="P13" s="13"/>
      <c r="T13" s="16"/>
      <c r="U13" s="16"/>
      <c r="V13" s="16"/>
      <c r="W13" s="23"/>
      <c r="X13" s="23"/>
      <c r="Y13" s="31"/>
    </row>
    <row r="14" spans="1:26" s="30" customFormat="1" ht="21" x14ac:dyDescent="0.3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T14" s="14"/>
      <c r="U14" s="13"/>
      <c r="V14" s="13"/>
      <c r="W14" s="23"/>
      <c r="X14" s="23"/>
      <c r="Y14" s="32"/>
      <c r="Z14" s="32"/>
    </row>
    <row r="15" spans="1:26" s="30" customFormat="1" ht="21" x14ac:dyDescent="0.3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T15" s="23"/>
      <c r="U15" s="23"/>
      <c r="V15" s="23"/>
      <c r="W15" s="23"/>
      <c r="X15" s="23"/>
    </row>
    <row r="16" spans="1:26" s="30" customFormat="1" ht="21" x14ac:dyDescent="0.35">
      <c r="A16" s="18" t="s">
        <v>29</v>
      </c>
      <c r="B16" s="18"/>
      <c r="C16" s="18"/>
      <c r="D16" s="18"/>
      <c r="E16" s="18"/>
      <c r="F16" s="18"/>
      <c r="G16" s="18"/>
      <c r="H16" s="18" t="s">
        <v>29</v>
      </c>
      <c r="J16" s="17"/>
      <c r="K16" s="17"/>
      <c r="L16" s="17"/>
      <c r="M16" s="17"/>
      <c r="N16" s="17"/>
      <c r="O16" s="17"/>
      <c r="P16" s="17"/>
      <c r="T16" s="23"/>
      <c r="U16" s="23"/>
      <c r="V16" s="23"/>
      <c r="W16" s="23"/>
      <c r="X16" s="23"/>
      <c r="Y16" s="32"/>
      <c r="Z16" s="32"/>
    </row>
    <row r="17" spans="1:24" ht="15.75" x14ac:dyDescent="0.25">
      <c r="A17" s="18" t="s">
        <v>30</v>
      </c>
      <c r="B17" s="18"/>
      <c r="C17" s="18"/>
      <c r="D17" s="18"/>
      <c r="E17" s="18"/>
      <c r="F17" s="18"/>
      <c r="G17" s="18"/>
      <c r="H17" s="18" t="s">
        <v>51</v>
      </c>
      <c r="J17" s="17"/>
      <c r="K17" s="17"/>
      <c r="L17" s="17"/>
      <c r="M17" s="17"/>
      <c r="N17" s="17"/>
      <c r="O17" s="17"/>
      <c r="P17" s="17"/>
      <c r="T17" s="23"/>
      <c r="U17" s="23"/>
      <c r="V17" s="23"/>
      <c r="W17" s="23"/>
      <c r="X17" s="23"/>
    </row>
    <row r="18" spans="1:24" ht="15.75" x14ac:dyDescent="0.25">
      <c r="A18" s="18" t="s">
        <v>34</v>
      </c>
      <c r="B18" s="18"/>
      <c r="C18" s="18"/>
      <c r="D18" s="18"/>
      <c r="E18" s="18"/>
      <c r="F18" s="18"/>
      <c r="G18" s="18"/>
      <c r="H18" s="18" t="s">
        <v>52</v>
      </c>
      <c r="J18" s="17"/>
      <c r="K18" s="17"/>
      <c r="L18" s="17"/>
      <c r="M18" s="17"/>
      <c r="N18" s="17"/>
      <c r="O18" s="17"/>
      <c r="P18" s="17"/>
      <c r="T18" s="23"/>
      <c r="U18" s="23"/>
      <c r="V18" s="23"/>
      <c r="W18" s="23"/>
      <c r="X18" s="23"/>
    </row>
    <row r="19" spans="1:24" ht="15.75" x14ac:dyDescent="0.25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24" ht="15.75" x14ac:dyDescent="0.25">
      <c r="L20" s="33"/>
      <c r="M20" s="33"/>
      <c r="N20" s="33"/>
      <c r="O20" s="33"/>
      <c r="P20" s="33"/>
    </row>
  </sheetData>
  <mergeCells count="6">
    <mergeCell ref="A2:M2"/>
    <mergeCell ref="A3:A5"/>
    <mergeCell ref="B3:B4"/>
    <mergeCell ref="C3:C4"/>
    <mergeCell ref="D3:H3"/>
    <mergeCell ref="I3:M3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Часть 1</vt:lpstr>
      <vt:lpstr>Часть 2</vt:lpstr>
      <vt:lpstr>Часть 3</vt:lpstr>
      <vt:lpstr>'Часть 1'!Область_печати</vt:lpstr>
      <vt:lpstr>'Часть 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Геннадьевна Мунина</dc:creator>
  <cp:lastModifiedBy>Евгений А. Тимофеев</cp:lastModifiedBy>
  <cp:lastPrinted>2016-04-04T13:26:14Z</cp:lastPrinted>
  <dcterms:created xsi:type="dcterms:W3CDTF">2014-05-06T05:36:05Z</dcterms:created>
  <dcterms:modified xsi:type="dcterms:W3CDTF">2016-04-14T13:12:09Z</dcterms:modified>
</cp:coreProperties>
</file>